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yyppa\Desktop\"/>
    </mc:Choice>
  </mc:AlternateContent>
  <xr:revisionPtr revIDLastSave="0" documentId="8_{A5414091-46FD-4597-8D05-8B5E580E5DF4}" xr6:coauthVersionLast="44" xr6:coauthVersionMax="44" xr10:uidLastSave="{00000000-0000-0000-0000-000000000000}"/>
  <bookViews>
    <workbookView xWindow="2340" yWindow="2340" windowWidth="15375" windowHeight="7875" xr2:uid="{00000000-000D-0000-FFFF-FFFF00000000}"/>
  </bookViews>
  <sheets>
    <sheet name="budjetti 2021 " sheetId="8" r:id="rId1"/>
    <sheet name="Budjetti työryhmillä 2021" sheetId="5" r:id="rId2"/>
    <sheet name="Työryhmien kuluerottelu" sheetId="7" r:id="rId3"/>
    <sheet name="Työryhmät 2021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B27" i="8" l="1"/>
  <c r="B21" i="8"/>
  <c r="B16" i="8"/>
  <c r="B54" i="8"/>
  <c r="C41" i="8" l="1"/>
  <c r="D33" i="7"/>
  <c r="E33" i="7" s="1"/>
  <c r="C26" i="7"/>
  <c r="J2" i="7"/>
  <c r="F61" i="6"/>
  <c r="B57" i="6"/>
  <c r="B56" i="6"/>
  <c r="B55" i="6"/>
  <c r="B54" i="6"/>
  <c r="B53" i="6"/>
  <c r="B52" i="6"/>
  <c r="B51" i="6"/>
  <c r="F48" i="6"/>
  <c r="B47" i="6"/>
  <c r="B46" i="6"/>
  <c r="B45" i="6"/>
  <c r="F43" i="6"/>
  <c r="B42" i="6"/>
  <c r="B41" i="6"/>
  <c r="B40" i="6"/>
  <c r="B39" i="6"/>
  <c r="B38" i="6"/>
  <c r="B37" i="6"/>
  <c r="B36" i="6"/>
  <c r="B35" i="6"/>
  <c r="F33" i="6"/>
  <c r="B32" i="6"/>
  <c r="B31" i="6"/>
  <c r="B30" i="6"/>
  <c r="B29" i="6"/>
  <c r="B28" i="6"/>
  <c r="B27" i="6"/>
  <c r="B26" i="6"/>
  <c r="B25" i="6"/>
  <c r="F23" i="6"/>
  <c r="B22" i="6"/>
  <c r="B21" i="6"/>
  <c r="B20" i="6"/>
  <c r="B19" i="6"/>
  <c r="B18" i="6"/>
  <c r="B17" i="6"/>
  <c r="B16" i="6"/>
  <c r="B15" i="6"/>
  <c r="F13" i="6"/>
  <c r="B12" i="6"/>
  <c r="B11" i="6"/>
  <c r="B10" i="6"/>
  <c r="B9" i="6"/>
  <c r="B8" i="6"/>
  <c r="B7" i="6"/>
  <c r="B6" i="6"/>
  <c r="G2" i="6"/>
  <c r="F33" i="7" l="1"/>
  <c r="D5" i="7" s="1"/>
  <c r="B6" i="8"/>
  <c r="B12" i="8" s="1"/>
  <c r="B29" i="8" s="1"/>
  <c r="D41" i="8"/>
  <c r="F41" i="8" s="1"/>
  <c r="D25" i="7"/>
  <c r="F49" i="6"/>
  <c r="D4" i="7" s="1"/>
  <c r="C48" i="8"/>
  <c r="C39" i="8"/>
  <c r="C36" i="8"/>
  <c r="C50" i="8"/>
  <c r="C51" i="8"/>
  <c r="C40" i="8"/>
  <c r="C47" i="8"/>
  <c r="C46" i="8"/>
  <c r="C43" i="8"/>
  <c r="C52" i="8"/>
  <c r="C42" i="8"/>
  <c r="C53" i="8"/>
  <c r="C45" i="8"/>
  <c r="C37" i="8"/>
  <c r="C44" i="8"/>
  <c r="C38" i="8"/>
  <c r="C49" i="8"/>
  <c r="D12" i="7"/>
  <c r="D20" i="7"/>
  <c r="D10" i="7"/>
  <c r="D18" i="7"/>
  <c r="D16" i="7"/>
  <c r="D14" i="7"/>
  <c r="D22" i="7"/>
  <c r="D24" i="7"/>
  <c r="O23" i="6"/>
  <c r="B23" i="6"/>
  <c r="B43" i="6"/>
  <c r="D8" i="7"/>
  <c r="M23" i="6"/>
  <c r="N23" i="6"/>
  <c r="B48" i="6"/>
  <c r="B61" i="6"/>
  <c r="L23" i="6"/>
  <c r="B13" i="6"/>
  <c r="P7" i="6"/>
  <c r="P11" i="6"/>
  <c r="G14" i="7" s="1"/>
  <c r="H14" i="7" s="1"/>
  <c r="P18" i="6"/>
  <c r="P22" i="6"/>
  <c r="B33" i="6"/>
  <c r="D9" i="7"/>
  <c r="D11" i="7"/>
  <c r="D13" i="7"/>
  <c r="D15" i="7"/>
  <c r="D17" i="7"/>
  <c r="D19" i="7"/>
  <c r="D21" i="7"/>
  <c r="D23" i="7"/>
  <c r="P6" i="6"/>
  <c r="P10" i="6"/>
  <c r="P17" i="6"/>
  <c r="G20" i="7" s="1"/>
  <c r="H20" i="7" s="1"/>
  <c r="P21" i="6"/>
  <c r="G24" i="7" s="1"/>
  <c r="H24" i="7" s="1"/>
  <c r="P5" i="6"/>
  <c r="G8" i="7" s="1"/>
  <c r="H8" i="7" s="1"/>
  <c r="P9" i="6"/>
  <c r="P13" i="6"/>
  <c r="P16" i="6"/>
  <c r="P20" i="6"/>
  <c r="G23" i="7" s="1"/>
  <c r="H23" i="7" s="1"/>
  <c r="K23" i="6"/>
  <c r="P8" i="6"/>
  <c r="P12" i="6"/>
  <c r="P14" i="6"/>
  <c r="P15" i="6"/>
  <c r="G18" i="7" s="1"/>
  <c r="H18" i="7" s="1"/>
  <c r="P19" i="6"/>
  <c r="G22" i="7" s="1"/>
  <c r="H22" i="7" s="1"/>
  <c r="J23" i="6"/>
  <c r="G17" i="7" l="1"/>
  <c r="H17" i="7" s="1"/>
  <c r="G15" i="7"/>
  <c r="H15" i="7" s="1"/>
  <c r="G11" i="7"/>
  <c r="H11" i="7" s="1"/>
  <c r="G19" i="7"/>
  <c r="H19" i="7" s="1"/>
  <c r="G16" i="7"/>
  <c r="H16" i="7" s="1"/>
  <c r="G12" i="7"/>
  <c r="H12" i="7" s="1"/>
  <c r="G13" i="7"/>
  <c r="H13" i="7" s="1"/>
  <c r="G9" i="7"/>
  <c r="H9" i="7" s="1"/>
  <c r="G25" i="7"/>
  <c r="H25" i="7" s="1"/>
  <c r="G21" i="7"/>
  <c r="H21" i="7" s="1"/>
  <c r="G10" i="7"/>
  <c r="H10" i="7" s="1"/>
  <c r="D49" i="8"/>
  <c r="F49" i="8" s="1"/>
  <c r="D46" i="8"/>
  <c r="F46" i="8" s="1"/>
  <c r="D45" i="8"/>
  <c r="F45" i="8" s="1"/>
  <c r="D48" i="8"/>
  <c r="F48" i="8" s="1"/>
  <c r="D44" i="8"/>
  <c r="F44" i="8" s="1"/>
  <c r="D42" i="8"/>
  <c r="F42" i="8" s="1"/>
  <c r="D36" i="8"/>
  <c r="F36" i="8" s="1"/>
  <c r="D43" i="8"/>
  <c r="F43" i="8" s="1"/>
  <c r="D51" i="8"/>
  <c r="F51" i="8" s="1"/>
  <c r="D38" i="8"/>
  <c r="F38" i="8" s="1"/>
  <c r="D53" i="8"/>
  <c r="F53" i="8" s="1"/>
  <c r="D50" i="8"/>
  <c r="F50" i="8" s="1"/>
  <c r="D47" i="8"/>
  <c r="F47" i="8" s="1"/>
  <c r="D37" i="8"/>
  <c r="F37" i="8" s="1"/>
  <c r="D52" i="8"/>
  <c r="F52" i="8" s="1"/>
  <c r="D40" i="8"/>
  <c r="F40" i="8" s="1"/>
  <c r="D39" i="8"/>
  <c r="F39" i="8" s="1"/>
  <c r="D6" i="7"/>
  <c r="C54" i="8"/>
  <c r="H26" i="7"/>
  <c r="D26" i="7"/>
  <c r="E19" i="7" s="1"/>
  <c r="P23" i="6"/>
  <c r="B52" i="5"/>
  <c r="C36" i="5" s="1"/>
  <c r="G26" i="7" l="1"/>
  <c r="I19" i="7"/>
  <c r="D54" i="8"/>
  <c r="F54" i="8" s="1"/>
  <c r="E8" i="7"/>
  <c r="F8" i="7" s="1"/>
  <c r="E9" i="7"/>
  <c r="F9" i="7" s="1"/>
  <c r="E21" i="7"/>
  <c r="F21" i="7" s="1"/>
  <c r="J21" i="7" s="1"/>
  <c r="E47" i="5" s="1"/>
  <c r="E13" i="7"/>
  <c r="F13" i="7" s="1"/>
  <c r="J13" i="7" s="1"/>
  <c r="E39" i="5" s="1"/>
  <c r="E10" i="7"/>
  <c r="F10" i="7" s="1"/>
  <c r="J10" i="7" s="1"/>
  <c r="E36" i="5" s="1"/>
  <c r="F19" i="7"/>
  <c r="J19" i="7" s="1"/>
  <c r="E45" i="5" s="1"/>
  <c r="E20" i="7"/>
  <c r="F20" i="7" s="1"/>
  <c r="J20" i="7" s="1"/>
  <c r="E46" i="5" s="1"/>
  <c r="E25" i="7"/>
  <c r="F25" i="7" s="1"/>
  <c r="J25" i="7" s="1"/>
  <c r="E51" i="5" s="1"/>
  <c r="E18" i="7"/>
  <c r="F18" i="7" s="1"/>
  <c r="J18" i="7" s="1"/>
  <c r="E44" i="5" s="1"/>
  <c r="I9" i="7"/>
  <c r="E11" i="7"/>
  <c r="F11" i="7" s="1"/>
  <c r="J11" i="7" s="1"/>
  <c r="E37" i="5" s="1"/>
  <c r="E12" i="7"/>
  <c r="F12" i="7" s="1"/>
  <c r="J12" i="7" s="1"/>
  <c r="E38" i="5" s="1"/>
  <c r="E22" i="7"/>
  <c r="I22" i="7" s="1"/>
  <c r="E16" i="7"/>
  <c r="E24" i="7"/>
  <c r="I24" i="7" s="1"/>
  <c r="E15" i="7"/>
  <c r="F15" i="7" s="1"/>
  <c r="J15" i="7" s="1"/>
  <c r="E41" i="5" s="1"/>
  <c r="E14" i="7"/>
  <c r="I14" i="7" s="1"/>
  <c r="E23" i="7"/>
  <c r="I23" i="7" s="1"/>
  <c r="E17" i="7"/>
  <c r="C47" i="5"/>
  <c r="C42" i="5"/>
  <c r="C50" i="5"/>
  <c r="C39" i="5"/>
  <c r="C46" i="5"/>
  <c r="C38" i="5"/>
  <c r="C51" i="5"/>
  <c r="C43" i="5"/>
  <c r="C35" i="5"/>
  <c r="C49" i="5"/>
  <c r="C45" i="5"/>
  <c r="C41" i="5"/>
  <c r="C37" i="5"/>
  <c r="C34" i="5"/>
  <c r="C48" i="5"/>
  <c r="C44" i="5"/>
  <c r="C40" i="5"/>
  <c r="B25" i="5"/>
  <c r="B19" i="5"/>
  <c r="B14" i="5"/>
  <c r="B10" i="5"/>
  <c r="F23" i="7" l="1"/>
  <c r="J23" i="7" s="1"/>
  <c r="E49" i="5" s="1"/>
  <c r="F14" i="7"/>
  <c r="J14" i="7" s="1"/>
  <c r="E40" i="5" s="1"/>
  <c r="I15" i="7"/>
  <c r="I8" i="7"/>
  <c r="J9" i="7"/>
  <c r="E35" i="5" s="1"/>
  <c r="I13" i="7"/>
  <c r="I10" i="7"/>
  <c r="F22" i="7"/>
  <c r="J22" i="7" s="1"/>
  <c r="E48" i="5" s="1"/>
  <c r="I21" i="7"/>
  <c r="F24" i="7"/>
  <c r="J24" i="7" s="1"/>
  <c r="E50" i="5" s="1"/>
  <c r="I18" i="7"/>
  <c r="I25" i="7"/>
  <c r="I17" i="7"/>
  <c r="F17" i="7"/>
  <c r="J17" i="7" s="1"/>
  <c r="E43" i="5" s="1"/>
  <c r="I11" i="7"/>
  <c r="I20" i="7"/>
  <c r="I12" i="7"/>
  <c r="E26" i="7"/>
  <c r="I16" i="7"/>
  <c r="F16" i="7"/>
  <c r="J16" i="7" s="1"/>
  <c r="E42" i="5" s="1"/>
  <c r="J8" i="7"/>
  <c r="B27" i="5"/>
  <c r="D37" i="5" s="1"/>
  <c r="C52" i="5"/>
  <c r="I26" i="7" l="1"/>
  <c r="F26" i="7"/>
  <c r="D36" i="5"/>
  <c r="F36" i="5" s="1"/>
  <c r="D35" i="5"/>
  <c r="F35" i="5" s="1"/>
  <c r="D34" i="5"/>
  <c r="J26" i="7"/>
  <c r="E34" i="5"/>
  <c r="D38" i="5"/>
  <c r="F38" i="5" s="1"/>
  <c r="D42" i="5"/>
  <c r="F42" i="5" s="1"/>
  <c r="D40" i="5"/>
  <c r="F40" i="5" s="1"/>
  <c r="F37" i="5"/>
  <c r="D41" i="5"/>
  <c r="F41" i="5" s="1"/>
  <c r="D45" i="5"/>
  <c r="F45" i="5" s="1"/>
  <c r="D49" i="5"/>
  <c r="F49" i="5" s="1"/>
  <c r="D46" i="5"/>
  <c r="F46" i="5" s="1"/>
  <c r="D50" i="5"/>
  <c r="F50" i="5" s="1"/>
  <c r="D39" i="5"/>
  <c r="F39" i="5" s="1"/>
  <c r="D43" i="5"/>
  <c r="F43" i="5" s="1"/>
  <c r="D47" i="5"/>
  <c r="F47" i="5" s="1"/>
  <c r="D51" i="5"/>
  <c r="F51" i="5" s="1"/>
  <c r="D44" i="5"/>
  <c r="F44" i="5" s="1"/>
  <c r="D48" i="5"/>
  <c r="F48" i="5" s="1"/>
  <c r="D52" i="5" l="1"/>
  <c r="F34" i="5"/>
  <c r="F52" i="5" s="1"/>
  <c r="E52" i="5"/>
</calcChain>
</file>

<file path=xl/sharedStrings.xml><?xml version="1.0" encoding="utf-8"?>
<sst xmlns="http://schemas.openxmlformats.org/spreadsheetml/2006/main" count="311" uniqueCount="164">
  <si>
    <t>Arvio Vaskin kuluista vuonna 2021</t>
  </si>
  <si>
    <t>Työryhmien vetäjien nykyisen prosentin mukaan kulut jyvitettäisiin</t>
  </si>
  <si>
    <t>Aihe</t>
  </si>
  <si>
    <t>Talousarvio
2021</t>
  </si>
  <si>
    <t>Kirjastojärjestelmä</t>
  </si>
  <si>
    <t>Pääkäyttäjä (1,5 htv)</t>
  </si>
  <si>
    <t xml:space="preserve"> </t>
  </si>
  <si>
    <t>Pääkäyttäjät esim. Anni 1 htv, Tuula 0,5 hvt</t>
  </si>
  <si>
    <t>Työryhmien vetäjät</t>
  </si>
  <si>
    <t>Verkkoviestintä 0,4 htv, kuvailu 0,35 htv, lainaus 0,2</t>
  </si>
  <si>
    <t>Axiell uudet lisäominaisuudet, versiopäivitykset</t>
  </si>
  <si>
    <t>Aurora-palvelin</t>
  </si>
  <si>
    <t>Palvelinkustannus arvioitu tämän vuoden kustannusten perusteella</t>
  </si>
  <si>
    <t>Koha-palvelin</t>
  </si>
  <si>
    <t>Palvelinkustannus arvioitu</t>
  </si>
  <si>
    <t>Verkkomaksamisen kustannukset</t>
  </si>
  <si>
    <t>Verkkomaksamisen kustannukset arvioitu näin suuriksi</t>
  </si>
  <si>
    <t>Tekstiviestit</t>
  </si>
  <si>
    <t>Kirjastojärjestelmä yhteensä</t>
  </si>
  <si>
    <t>Kuljetukset</t>
  </si>
  <si>
    <t>Kuljetustarvikkeet</t>
  </si>
  <si>
    <t>Kuljetukset yhteensä</t>
  </si>
  <si>
    <t>Aineistot</t>
  </si>
  <si>
    <t>Tietokannat:  OverDriwe, Naxos, ePress, eMagz, Rockway</t>
  </si>
  <si>
    <t>Huhtikuun joryn linja, että pysytään entisellä tasolla.</t>
  </si>
  <si>
    <t>E-kirjat ja e-äänikirjat</t>
  </si>
  <si>
    <t>Aineistot yhteensä</t>
  </si>
  <si>
    <t>Muut</t>
  </si>
  <si>
    <t>Kirjamessut tms. tapahtumat</t>
  </si>
  <si>
    <t>Tässä ollut enää pelkät kirjamessuliput henkilökunnalle - jätetään pois</t>
  </si>
  <si>
    <t>Vaskitarvikkeet, esitteet ja muu tiedotusmateriaali</t>
  </si>
  <si>
    <t>Yhteiset tilaisuudet tms. tapahtumat</t>
  </si>
  <si>
    <t>Viime vuonna Oodi ja kehittämispäivä, yhteensä n. 2800€</t>
  </si>
  <si>
    <t>Muut yhteensä</t>
  </si>
  <si>
    <t>Yhteensä</t>
  </si>
  <si>
    <t>Maksuosuudet kunnittain</t>
  </si>
  <si>
    <t>Kunta</t>
  </si>
  <si>
    <t>Asukasluku 
31.12.2019</t>
  </si>
  <si>
    <t>Asukasluku %-osuus</t>
  </si>
  <si>
    <t>Kustannukset asukasluvun mukaan</t>
  </si>
  <si>
    <t>2020 kustannukset</t>
  </si>
  <si>
    <t>Muutos</t>
  </si>
  <si>
    <t>Kaarina</t>
  </si>
  <si>
    <t>Huom! Oman kirjaston kustannusvertailussa kannattaa huomioida myös kirjastojärjestelmäkustannukset</t>
  </si>
  <si>
    <t>Kustavi</t>
  </si>
  <si>
    <t>Laitila</t>
  </si>
  <si>
    <t>Lieto</t>
  </si>
  <si>
    <t>Masku</t>
  </si>
  <si>
    <t>Mynämäki</t>
  </si>
  <si>
    <t>Naantali</t>
  </si>
  <si>
    <t>Nousiainen</t>
  </si>
  <si>
    <t>Paimio</t>
  </si>
  <si>
    <t>Pyhäranta</t>
  </si>
  <si>
    <t>Raisio</t>
  </si>
  <si>
    <t>Rusko</t>
  </si>
  <si>
    <t>Salo</t>
  </si>
  <si>
    <t>Sauvo</t>
  </si>
  <si>
    <t>Taivassalo</t>
  </si>
  <si>
    <t>Turku</t>
  </si>
  <si>
    <t>Uusikaupunki</t>
  </si>
  <si>
    <t>Vehmaa</t>
  </si>
  <si>
    <t>Versiopäivitys n. 2000€</t>
  </si>
  <si>
    <t>Tietokannat:  OverDriwe, Naxos,  ePress, eMagz, Rockway</t>
  </si>
  <si>
    <t>Päätettävä erikseen e-aineistomäärärahoista</t>
  </si>
  <si>
    <t>Kirjamessuliput jätetään pois</t>
  </si>
  <si>
    <t>Asukasluvun mukaan jyvitettävät kustannukset</t>
  </si>
  <si>
    <t>Työryhmä-panostus</t>
  </si>
  <si>
    <t>Kustannukset yhteensä</t>
  </si>
  <si>
    <t>Työryhmät ja kuntien maksuosuudet vuodelle 2021</t>
  </si>
  <si>
    <t>Päivitetty:</t>
  </si>
  <si>
    <t>Henkilötyövuodet yhteensä:</t>
  </si>
  <si>
    <t>Palkkakustannukset/htv</t>
  </si>
  <si>
    <t>Palkkakustannukset yhteensä</t>
  </si>
  <si>
    <t>Asukasluku 31.12.2019*</t>
  </si>
  <si>
    <t>% Vaski-kuntien asukasluvusta</t>
  </si>
  <si>
    <t>Laskennallinen panostus työryhmiin (htv)</t>
  </si>
  <si>
    <t>Laskennallinen panostus työryhmiin (€/vuosi)</t>
  </si>
  <si>
    <t>Todellinen panostus työryhmiin (htv)</t>
  </si>
  <si>
    <t>Todellinen panostus työryhmiin (€/vuosi)</t>
  </si>
  <si>
    <t>Laskennallisen ja todellisen panoksen ero (htv)</t>
  </si>
  <si>
    <t>Laskennallisen ja todellisen panoksen ero (€/vuosi)</t>
  </si>
  <si>
    <t xml:space="preserve">* Lähde: Tilastokeskus, "006 -- Väkiluku sukupuolen mukaan alueittain sekä väestömäärän muutos 31.12.2019". </t>
  </si>
  <si>
    <t>http://pxnet2.stat.fi/PXWeb/pxweb/fi/StatFin/StatFin__vrm__vaerak/statfin_vaerak_pxt_006.px</t>
  </si>
  <si>
    <t>Palkkakustannusten laskemisperusteena käytetty vuosipalkka</t>
  </si>
  <si>
    <t>palkka/kk</t>
  </si>
  <si>
    <t>sivukulut (%)</t>
  </si>
  <si>
    <t>sivukulut (€/kk)</t>
  </si>
  <si>
    <t>yhteensä (€/kk)</t>
  </si>
  <si>
    <t>yhteensä (€/vuosi)</t>
  </si>
  <si>
    <t>Vaskin työryhmät vuodelle 2021</t>
  </si>
  <si>
    <t>Johtoryhmässä sovitut työryhmät jäsenineen sekä arvio ryhmien toimintaan käytetystä työajasta</t>
  </si>
  <si>
    <t>Kuntakohtaiset henkilötyövuodet työryhmittäin</t>
  </si>
  <si>
    <t>#</t>
  </si>
  <si>
    <t>Rooli / vastuualue</t>
  </si>
  <si>
    <t>Nimi</t>
  </si>
  <si>
    <t>Kunta / kaupunki</t>
  </si>
  <si>
    <t>Työaika-%</t>
  </si>
  <si>
    <t>Huomautus</t>
  </si>
  <si>
    <t>Ryhmä 1</t>
  </si>
  <si>
    <t>Ryhmä 2</t>
  </si>
  <si>
    <t>Ryhmä 3</t>
  </si>
  <si>
    <t>Ryhmä 4</t>
  </si>
  <si>
    <t>Ryhmä 5</t>
  </si>
  <si>
    <t>Ryhmä 6</t>
  </si>
  <si>
    <t>htv ryhmissä yhteensä</t>
  </si>
  <si>
    <t>Järjestelmän pääkäyttäjät</t>
  </si>
  <si>
    <t>ryhmän vetäjä</t>
  </si>
  <si>
    <t>Susanna Sandell</t>
  </si>
  <si>
    <t>hankinta</t>
  </si>
  <si>
    <t>Riitta Kari</t>
  </si>
  <si>
    <t>Anne Heino</t>
  </si>
  <si>
    <t>Anni Rajala</t>
  </si>
  <si>
    <t>lainauspalvelut</t>
  </si>
  <si>
    <t>Tuula Orne</t>
  </si>
  <si>
    <t>ohjelmistot ja it-laitteet</t>
  </si>
  <si>
    <t>Sami Salonen</t>
  </si>
  <si>
    <t>työryhmän jäsentä</t>
  </si>
  <si>
    <t>Yhteensä:</t>
  </si>
  <si>
    <t>htv</t>
  </si>
  <si>
    <t>Vaski-kirjastojen kokoelmaryhmä</t>
  </si>
  <si>
    <t>Kaisa Hypén</t>
  </si>
  <si>
    <t>Anu Lehtonen-Sonkki</t>
  </si>
  <si>
    <t>Arja Rytkönen</t>
  </si>
  <si>
    <t>Sari Levon</t>
  </si>
  <si>
    <t>e-aineistovastaava</t>
  </si>
  <si>
    <t>Maija Suoyrjö</t>
  </si>
  <si>
    <t>Säde Vainio</t>
  </si>
  <si>
    <t>Tom Sjöstrand</t>
  </si>
  <si>
    <t>Kaikki kunnat</t>
  </si>
  <si>
    <t>Vaski-kirjastojen kuvailuryhmä</t>
  </si>
  <si>
    <t>Anna Viitanen</t>
  </si>
  <si>
    <t>Aki Pyykkö</t>
  </si>
  <si>
    <t>Tiina Sorsimo</t>
  </si>
  <si>
    <t>Liisa Lehtikangas</t>
  </si>
  <si>
    <t xml:space="preserve">Heli Pohjola </t>
  </si>
  <si>
    <t>Heli Malila-Kolkka</t>
  </si>
  <si>
    <t>Vaski-kirjastojen verkkoviestintäryhmä</t>
  </si>
  <si>
    <t>ryhmän vetäjä, tekninen vastaava</t>
  </si>
  <si>
    <t>Sari Toivanen</t>
  </si>
  <si>
    <t>sisältövastaava</t>
  </si>
  <si>
    <t>Pauliina Sandberg</t>
  </si>
  <si>
    <t>Tiina Grönroos</t>
  </si>
  <si>
    <t>Topi Lindqvist</t>
  </si>
  <si>
    <t>Anna Schauman</t>
  </si>
  <si>
    <t>Toiminnan koordinointi</t>
  </si>
  <si>
    <t>Rebekka Pilppula</t>
  </si>
  <si>
    <t>johtoryhmän sihteeri</t>
  </si>
  <si>
    <t>Nina Hyyppä</t>
  </si>
  <si>
    <t>henkilöä</t>
  </si>
  <si>
    <t>Kaikki työryhmät ja koordinointi yhteensä:</t>
  </si>
  <si>
    <t>Vaski-kirjastojen työvaliokunta</t>
  </si>
  <si>
    <t>puheenjohtaja &amp; esittelijä</t>
  </si>
  <si>
    <t>varapuheenjohtaja</t>
  </si>
  <si>
    <t>Ritva Nurminoro</t>
  </si>
  <si>
    <t>Arja Pesonen</t>
  </si>
  <si>
    <t>Tiina Salo</t>
  </si>
  <si>
    <t>Riikka Uski</t>
  </si>
  <si>
    <t xml:space="preserve">Anna Leimola-Blomqvist </t>
  </si>
  <si>
    <t>sihteeri</t>
  </si>
  <si>
    <t xml:space="preserve">1. varajäsen </t>
  </si>
  <si>
    <t>Marja-Liisa Mutka</t>
  </si>
  <si>
    <t>2. varajäsen</t>
  </si>
  <si>
    <t>Jaakko Lind</t>
  </si>
  <si>
    <t>varsinaista jäsentä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</si>
</sst>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€&quot;;\-#,##0\ &quot;€&quot;"/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\ %"/>
    <numFmt numFmtId="166" formatCode="_-* #,##0\ [$€-40B]_-;\-* #,##0\ [$€-40B]_-;_-* &quot;-&quot;??\ [$€-40B]_-;_-@_-"/>
    <numFmt numFmtId="167" formatCode="#,##0.00\ &quot;€&quot;"/>
    <numFmt numFmtId="168" formatCode="d\.m\.yyyy;@"/>
    <numFmt numFmtId="169" formatCode="#,##0\ &quot;€&quot;"/>
    <numFmt numFmtId="170" formatCode="#,##0.000\ &quot;€&quot;"/>
    <numFmt numFmtId="171" formatCode="_-* #,##0\ _€_-;\-* #,##0\ _€_-;_-* &quot;-&quot;??\ _€_-;_-@_-"/>
  </numFmts>
  <fonts count="3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9"/>
      <color theme="0"/>
      <name val="Segoe UI"/>
      <family val="2"/>
    </font>
    <font>
      <b/>
      <sz val="20"/>
      <color theme="0"/>
      <name val="Segoe UI"/>
      <family val="2"/>
    </font>
    <font>
      <sz val="10"/>
      <color rgb="FF75787B"/>
      <name val="Segoe UI"/>
      <family val="2"/>
    </font>
    <font>
      <sz val="10"/>
      <color theme="0"/>
      <name val="Segoe UI"/>
      <family val="2"/>
    </font>
    <font>
      <b/>
      <sz val="20"/>
      <name val="Segoe UI"/>
      <family val="2"/>
    </font>
    <font>
      <b/>
      <sz val="20"/>
      <color theme="3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sz val="9"/>
      <color rgb="FFB1B3B3"/>
      <name val="Segoe UI"/>
      <family val="2"/>
    </font>
    <font>
      <sz val="9"/>
      <name val="Segoe UI"/>
      <family val="2"/>
    </font>
    <font>
      <b/>
      <sz val="9"/>
      <color theme="1"/>
      <name val="Segoe UI"/>
      <family val="2"/>
    </font>
    <font>
      <b/>
      <sz val="9"/>
      <color rgb="FFB1B3B3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sz val="10"/>
      <color rgb="FF000000"/>
      <name val="Arial"/>
      <family val="2"/>
    </font>
    <font>
      <b/>
      <sz val="9"/>
      <color rgb="FF000000"/>
      <name val="ArialUnicodeMS"/>
    </font>
    <font>
      <u/>
      <sz val="10"/>
      <color theme="10"/>
      <name val="Arial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ArialUnicodeMS"/>
    </font>
    <font>
      <sz val="9"/>
      <color rgb="FF000000"/>
      <name val="ArialUnicodeMS"/>
    </font>
    <font>
      <i/>
      <sz val="10"/>
      <color rgb="FF000000"/>
      <name val="Segoe UI"/>
      <family val="2"/>
    </font>
    <font>
      <b/>
      <i/>
      <sz val="10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E5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" fillId="0" borderId="0"/>
    <xf numFmtId="0" fontId="30" fillId="0" borderId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Fill="1" applyBorder="1" applyProtection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166" fontId="0" fillId="0" borderId="0" xfId="2" applyNumberFormat="1" applyFont="1"/>
    <xf numFmtId="166" fontId="1" fillId="0" borderId="0" xfId="2" applyNumberFormat="1" applyFont="1"/>
    <xf numFmtId="166" fontId="0" fillId="0" borderId="0" xfId="0" applyNumberFormat="1"/>
    <xf numFmtId="166" fontId="0" fillId="0" borderId="1" xfId="0" applyNumberFormat="1" applyBorder="1"/>
    <xf numFmtId="166" fontId="0" fillId="0" borderId="0" xfId="2" applyNumberFormat="1" applyFont="1" applyBorder="1"/>
    <xf numFmtId="166" fontId="2" fillId="0" borderId="0" xfId="2" applyNumberFormat="1" applyFont="1"/>
    <xf numFmtId="0" fontId="8" fillId="0" borderId="0" xfId="0" applyFont="1"/>
    <xf numFmtId="0" fontId="0" fillId="0" borderId="0" xfId="0" applyFont="1" applyBorder="1"/>
    <xf numFmtId="166" fontId="8" fillId="0" borderId="0" xfId="2" applyNumberFormat="1" applyFont="1"/>
    <xf numFmtId="166" fontId="8" fillId="0" borderId="0" xfId="2" applyNumberFormat="1" applyFont="1" applyFill="1"/>
    <xf numFmtId="0" fontId="2" fillId="0" borderId="0" xfId="0" applyFont="1" applyFill="1"/>
    <xf numFmtId="166" fontId="8" fillId="0" borderId="0" xfId="0" applyNumberFormat="1" applyFont="1"/>
    <xf numFmtId="0" fontId="0" fillId="0" borderId="0" xfId="0" applyFont="1" applyFill="1"/>
    <xf numFmtId="6" fontId="0" fillId="0" borderId="0" xfId="0" applyNumberFormat="1" applyFill="1"/>
    <xf numFmtId="166" fontId="6" fillId="0" borderId="0" xfId="2" applyNumberFormat="1" applyFont="1"/>
    <xf numFmtId="0" fontId="6" fillId="0" borderId="0" xfId="0" applyFont="1"/>
    <xf numFmtId="0" fontId="0" fillId="0" borderId="1" xfId="0" applyBorder="1"/>
    <xf numFmtId="166" fontId="0" fillId="0" borderId="1" xfId="2" applyNumberFormat="1" applyFont="1" applyBorder="1"/>
    <xf numFmtId="166" fontId="6" fillId="0" borderId="1" xfId="2" applyNumberFormat="1" applyFont="1" applyBorder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 applyFill="1" applyBorder="1" applyAlignment="1" applyProtection="1">
      <alignment horizontal="left"/>
      <protection locked="0"/>
    </xf>
    <xf numFmtId="165" fontId="0" fillId="0" borderId="0" xfId="0" applyNumberFormat="1"/>
    <xf numFmtId="166" fontId="1" fillId="2" borderId="0" xfId="2" applyNumberFormat="1" applyFont="1" applyFill="1"/>
    <xf numFmtId="166" fontId="0" fillId="2" borderId="1" xfId="2" applyNumberFormat="1" applyFont="1" applyFill="1" applyBorder="1"/>
    <xf numFmtId="42" fontId="0" fillId="0" borderId="0" xfId="0" applyNumberForma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Fill="1" applyBorder="1" applyProtection="1"/>
    <xf numFmtId="166" fontId="2" fillId="0" borderId="0" xfId="0" applyNumberFormat="1" applyFont="1"/>
    <xf numFmtId="16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0" fillId="0" borderId="0" xfId="2" applyNumberFormat="1" applyFont="1" applyFill="1"/>
    <xf numFmtId="1" fontId="10" fillId="0" borderId="0" xfId="5" applyNumberFormat="1" applyFont="1" applyFill="1" applyAlignment="1">
      <alignment horizontal="left" vertical="center"/>
    </xf>
    <xf numFmtId="49" fontId="12" fillId="0" borderId="0" xfId="5" applyNumberFormat="1" applyFont="1" applyFill="1" applyAlignment="1">
      <alignment horizontal="right" vertical="center"/>
    </xf>
    <xf numFmtId="168" fontId="12" fillId="0" borderId="0" xfId="5" applyNumberFormat="1" applyFont="1" applyFill="1" applyAlignment="1">
      <alignment horizontal="left" vertical="center"/>
    </xf>
    <xf numFmtId="1" fontId="13" fillId="0" borderId="0" xfId="5" applyNumberFormat="1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left" vertical="center"/>
    </xf>
    <xf numFmtId="0" fontId="14" fillId="0" borderId="0" xfId="5" applyNumberFormat="1" applyFont="1" applyFill="1" applyAlignment="1">
      <alignment horizontal="left" vertical="top"/>
    </xf>
    <xf numFmtId="0" fontId="15" fillId="0" borderId="0" xfId="5" applyNumberFormat="1" applyFont="1" applyFill="1" applyAlignment="1">
      <alignment horizontal="left" vertical="top"/>
    </xf>
    <xf numFmtId="0" fontId="13" fillId="0" borderId="0" xfId="5" applyNumberFormat="1" applyFont="1" applyFill="1" applyAlignment="1">
      <alignment horizontal="left" vertical="center"/>
    </xf>
    <xf numFmtId="49" fontId="16" fillId="0" borderId="0" xfId="5" applyNumberFormat="1" applyFont="1" applyFill="1" applyAlignment="1">
      <alignment horizontal="right" vertical="center"/>
    </xf>
    <xf numFmtId="168" fontId="16" fillId="0" borderId="0" xfId="5" applyNumberFormat="1" applyFont="1" applyFill="1" applyAlignment="1">
      <alignment horizontal="left" vertical="center"/>
    </xf>
    <xf numFmtId="0" fontId="17" fillId="0" borderId="0" xfId="5" applyFont="1" applyAlignment="1">
      <alignment vertical="center"/>
    </xf>
    <xf numFmtId="49" fontId="19" fillId="0" borderId="0" xfId="5" applyNumberFormat="1" applyFont="1" applyAlignment="1">
      <alignment vertical="center"/>
    </xf>
    <xf numFmtId="0" fontId="1" fillId="0" borderId="0" xfId="5"/>
    <xf numFmtId="1" fontId="20" fillId="0" borderId="0" xfId="5" applyNumberFormat="1" applyFont="1" applyFill="1" applyBorder="1" applyAlignment="1">
      <alignment horizontal="center" vertical="center"/>
    </xf>
    <xf numFmtId="0" fontId="21" fillId="3" borderId="2" xfId="5" applyNumberFormat="1" applyFont="1" applyFill="1" applyBorder="1" applyAlignment="1">
      <alignment horizontal="center" vertical="center"/>
    </xf>
    <xf numFmtId="0" fontId="19" fillId="3" borderId="3" xfId="5" applyNumberFormat="1" applyFont="1" applyFill="1" applyBorder="1" applyAlignment="1">
      <alignment horizontal="center" vertical="center" wrapText="1"/>
    </xf>
    <xf numFmtId="0" fontId="21" fillId="3" borderId="3" xfId="5" applyNumberFormat="1" applyFont="1" applyFill="1" applyBorder="1" applyAlignment="1">
      <alignment horizontal="center" vertical="center" wrapText="1"/>
    </xf>
    <xf numFmtId="0" fontId="19" fillId="3" borderId="3" xfId="5" applyNumberFormat="1" applyFont="1" applyFill="1" applyBorder="1" applyAlignment="1">
      <alignment horizontal="center" vertical="center" wrapText="1" readingOrder="1"/>
    </xf>
    <xf numFmtId="0" fontId="22" fillId="0" borderId="0" xfId="5" applyFont="1"/>
    <xf numFmtId="0" fontId="19" fillId="3" borderId="4" xfId="5" applyNumberFormat="1" applyFont="1" applyFill="1" applyBorder="1" applyAlignment="1">
      <alignment horizontal="center" vertical="center" wrapText="1"/>
    </xf>
    <xf numFmtId="49" fontId="21" fillId="3" borderId="5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21" fillId="3" borderId="4" xfId="5" applyNumberFormat="1" applyFont="1" applyFill="1" applyBorder="1" applyAlignment="1">
      <alignment horizontal="center" vertical="center" wrapText="1"/>
    </xf>
    <xf numFmtId="0" fontId="19" fillId="3" borderId="5" xfId="5" applyNumberFormat="1" applyFont="1" applyFill="1" applyBorder="1" applyAlignment="1">
      <alignment horizontal="center" vertical="center" wrapText="1"/>
    </xf>
    <xf numFmtId="1" fontId="20" fillId="0" borderId="0" xfId="5" applyNumberFormat="1" applyFont="1" applyFill="1" applyBorder="1" applyAlignment="1">
      <alignment vertical="center"/>
    </xf>
    <xf numFmtId="49" fontId="23" fillId="4" borderId="6" xfId="5" applyNumberFormat="1" applyFont="1" applyFill="1" applyBorder="1" applyAlignment="1">
      <alignment horizontal="left" vertical="center"/>
    </xf>
    <xf numFmtId="49" fontId="24" fillId="4" borderId="7" xfId="5" applyNumberFormat="1" applyFont="1" applyFill="1" applyBorder="1"/>
    <xf numFmtId="49" fontId="24" fillId="4" borderId="7" xfId="5" applyNumberFormat="1" applyFont="1" applyFill="1" applyBorder="1" applyAlignment="1"/>
    <xf numFmtId="9" fontId="24" fillId="4" borderId="7" xfId="5" applyNumberFormat="1" applyFont="1" applyFill="1" applyBorder="1"/>
    <xf numFmtId="44" fontId="24" fillId="4" borderId="8" xfId="5" applyNumberFormat="1" applyFont="1" applyFill="1" applyBorder="1"/>
    <xf numFmtId="0" fontId="22" fillId="0" borderId="8" xfId="5" applyFont="1" applyBorder="1"/>
    <xf numFmtId="2" fontId="22" fillId="5" borderId="9" xfId="5" applyNumberFormat="1" applyFont="1" applyFill="1" applyBorder="1"/>
    <xf numFmtId="2" fontId="22" fillId="5" borderId="6" xfId="5" applyNumberFormat="1" applyFont="1" applyFill="1" applyBorder="1"/>
    <xf numFmtId="1" fontId="20" fillId="5" borderId="4" xfId="5" applyNumberFormat="1" applyFont="1" applyFill="1" applyBorder="1" applyAlignment="1">
      <alignment horizontal="center" vertical="center"/>
    </xf>
    <xf numFmtId="49" fontId="25" fillId="0" borderId="10" xfId="5" applyNumberFormat="1" applyFont="1" applyFill="1" applyBorder="1"/>
    <xf numFmtId="49" fontId="25" fillId="0" borderId="9" xfId="5" applyNumberFormat="1" applyFont="1" applyFill="1" applyBorder="1" applyAlignment="1"/>
    <xf numFmtId="49" fontId="25" fillId="0" borderId="9" xfId="5" applyNumberFormat="1" applyFont="1" applyFill="1" applyBorder="1"/>
    <xf numFmtId="9" fontId="20" fillId="0" borderId="10" xfId="5" applyNumberFormat="1" applyFont="1" applyFill="1" applyBorder="1"/>
    <xf numFmtId="49" fontId="25" fillId="0" borderId="9" xfId="5" applyNumberFormat="1" applyFont="1" applyFill="1" applyBorder="1" applyAlignment="1">
      <alignment horizontal="center"/>
    </xf>
    <xf numFmtId="9" fontId="20" fillId="0" borderId="9" xfId="5" applyNumberFormat="1" applyFont="1" applyFill="1" applyBorder="1"/>
    <xf numFmtId="49" fontId="25" fillId="0" borderId="10" xfId="5" applyNumberFormat="1" applyFont="1" applyFill="1" applyBorder="1" applyAlignment="1"/>
    <xf numFmtId="1" fontId="21" fillId="5" borderId="11" xfId="5" applyNumberFormat="1" applyFont="1" applyFill="1" applyBorder="1" applyAlignment="1">
      <alignment horizontal="center" vertical="center"/>
    </xf>
    <xf numFmtId="49" fontId="19" fillId="5" borderId="12" xfId="5" applyNumberFormat="1" applyFont="1" applyFill="1" applyBorder="1" applyAlignment="1">
      <alignment vertical="center"/>
    </xf>
    <xf numFmtId="49" fontId="19" fillId="5" borderId="12" xfId="5" applyNumberFormat="1" applyFont="1" applyFill="1" applyBorder="1" applyAlignment="1">
      <alignment horizontal="right" vertical="center"/>
    </xf>
    <xf numFmtId="2" fontId="21" fillId="5" borderId="12" xfId="5" applyNumberFormat="1" applyFont="1" applyFill="1" applyBorder="1" applyAlignment="1">
      <alignment vertical="center"/>
    </xf>
    <xf numFmtId="0" fontId="20" fillId="0" borderId="8" xfId="5" applyFont="1" applyBorder="1" applyAlignment="1"/>
    <xf numFmtId="49" fontId="20" fillId="0" borderId="9" xfId="5" applyNumberFormat="1" applyFont="1" applyFill="1" applyBorder="1"/>
    <xf numFmtId="0" fontId="20" fillId="0" borderId="8" xfId="5" applyFont="1" applyFill="1" applyBorder="1" applyAlignment="1"/>
    <xf numFmtId="0" fontId="20" fillId="0" borderId="0" xfId="5" applyFont="1" applyFill="1" applyBorder="1" applyAlignment="1"/>
    <xf numFmtId="0" fontId="17" fillId="0" borderId="0" xfId="5" applyFont="1" applyFill="1" applyBorder="1" applyAlignment="1"/>
    <xf numFmtId="49" fontId="19" fillId="5" borderId="12" xfId="5" applyNumberFormat="1" applyFont="1" applyFill="1" applyBorder="1" applyAlignment="1">
      <alignment horizontal="left" vertical="center"/>
    </xf>
    <xf numFmtId="0" fontId="20" fillId="0" borderId="0" xfId="5" applyFont="1" applyAlignment="1"/>
    <xf numFmtId="1" fontId="21" fillId="5" borderId="8" xfId="5" applyNumberFormat="1" applyFont="1" applyFill="1" applyBorder="1" applyAlignment="1">
      <alignment horizontal="center" vertical="center"/>
    </xf>
    <xf numFmtId="49" fontId="19" fillId="5" borderId="9" xfId="5" applyNumberFormat="1" applyFont="1" applyFill="1" applyBorder="1" applyAlignment="1">
      <alignment vertical="center"/>
    </xf>
    <xf numFmtId="49" fontId="19" fillId="5" borderId="9" xfId="5" applyNumberFormat="1" applyFont="1" applyFill="1" applyBorder="1" applyAlignment="1">
      <alignment horizontal="right" vertical="center"/>
    </xf>
    <xf numFmtId="2" fontId="21" fillId="5" borderId="9" xfId="5" applyNumberFormat="1" applyFont="1" applyFill="1" applyBorder="1" applyAlignment="1">
      <alignment vertical="center"/>
    </xf>
    <xf numFmtId="49" fontId="19" fillId="5" borderId="9" xfId="5" applyNumberFormat="1" applyFont="1" applyFill="1" applyBorder="1" applyAlignment="1">
      <alignment horizontal="left" vertical="center"/>
    </xf>
    <xf numFmtId="1" fontId="21" fillId="3" borderId="8" xfId="5" applyNumberFormat="1" applyFont="1" applyFill="1" applyBorder="1" applyAlignment="1">
      <alignment horizontal="center" vertical="center"/>
    </xf>
    <xf numFmtId="49" fontId="19" fillId="3" borderId="9" xfId="5" applyNumberFormat="1" applyFont="1" applyFill="1" applyBorder="1" applyAlignment="1">
      <alignment horizontal="center" vertical="center"/>
    </xf>
    <xf numFmtId="49" fontId="19" fillId="3" borderId="9" xfId="5" applyNumberFormat="1" applyFont="1" applyFill="1" applyBorder="1" applyAlignment="1"/>
    <xf numFmtId="49" fontId="19" fillId="3" borderId="9" xfId="5" applyNumberFormat="1" applyFont="1" applyFill="1" applyBorder="1" applyAlignment="1">
      <alignment horizontal="right"/>
    </xf>
    <xf numFmtId="2" fontId="21" fillId="3" borderId="9" xfId="5" applyNumberFormat="1" applyFont="1" applyFill="1" applyBorder="1" applyAlignment="1">
      <alignment horizontal="right"/>
    </xf>
    <xf numFmtId="49" fontId="19" fillId="3" borderId="9" xfId="5" applyNumberFormat="1" applyFont="1" applyFill="1" applyBorder="1" applyAlignment="1">
      <alignment horizontal="left"/>
    </xf>
    <xf numFmtId="0" fontId="20" fillId="0" borderId="0" xfId="5" applyFont="1" applyAlignment="1">
      <alignment vertical="center"/>
    </xf>
    <xf numFmtId="44" fontId="24" fillId="0" borderId="0" xfId="5" applyNumberFormat="1" applyFont="1" applyFill="1" applyBorder="1" applyAlignment="1"/>
    <xf numFmtId="0" fontId="27" fillId="0" borderId="0" xfId="5" applyFont="1" applyFill="1" applyBorder="1"/>
    <xf numFmtId="0" fontId="24" fillId="0" borderId="0" xfId="5" applyFont="1" applyFill="1" applyBorder="1"/>
    <xf numFmtId="44" fontId="24" fillId="0" borderId="0" xfId="5" applyNumberFormat="1" applyFont="1" applyAlignment="1"/>
    <xf numFmtId="10" fontId="24" fillId="0" borderId="0" xfId="5" applyNumberFormat="1" applyFont="1" applyAlignment="1"/>
    <xf numFmtId="0" fontId="24" fillId="5" borderId="8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49" fontId="19" fillId="5" borderId="9" xfId="5" applyNumberFormat="1" applyFont="1" applyFill="1" applyBorder="1" applyAlignment="1"/>
    <xf numFmtId="49" fontId="19" fillId="5" borderId="9" xfId="5" applyNumberFormat="1" applyFont="1" applyFill="1" applyBorder="1" applyAlignment="1">
      <alignment horizontal="right"/>
    </xf>
    <xf numFmtId="2" fontId="21" fillId="5" borderId="9" xfId="5" applyNumberFormat="1" applyFont="1" applyFill="1" applyBorder="1"/>
    <xf numFmtId="49" fontId="19" fillId="5" borderId="9" xfId="5" applyNumberFormat="1" applyFont="1" applyFill="1" applyBorder="1" applyAlignment="1">
      <alignment horizontal="left"/>
    </xf>
    <xf numFmtId="0" fontId="24" fillId="0" borderId="0" xfId="5" applyFont="1" applyAlignment="1">
      <alignment horizontal="center"/>
    </xf>
    <xf numFmtId="0" fontId="24" fillId="0" borderId="0" xfId="5" applyFont="1" applyAlignment="1"/>
    <xf numFmtId="0" fontId="17" fillId="0" borderId="0" xfId="5" applyFont="1" applyAlignment="1"/>
    <xf numFmtId="0" fontId="17" fillId="0" borderId="0" xfId="5" applyFont="1" applyFill="1" applyAlignment="1">
      <alignment vertical="center"/>
    </xf>
    <xf numFmtId="1" fontId="11" fillId="0" borderId="0" xfId="5" applyNumberFormat="1" applyFont="1" applyFill="1" applyAlignment="1">
      <alignment horizontal="left" vertical="center"/>
    </xf>
    <xf numFmtId="0" fontId="14" fillId="0" borderId="0" xfId="4" applyFont="1" applyFill="1" applyBorder="1" applyAlignment="1">
      <alignment horizontal="left" vertical="top"/>
    </xf>
    <xf numFmtId="0" fontId="17" fillId="0" borderId="0" xfId="5" applyFont="1" applyFill="1" applyBorder="1" applyAlignment="1">
      <alignment vertical="center"/>
    </xf>
    <xf numFmtId="0" fontId="13" fillId="0" borderId="0" xfId="5" applyNumberFormat="1" applyFont="1" applyFill="1" applyBorder="1" applyAlignment="1">
      <alignment horizontal="right" vertical="center"/>
    </xf>
    <xf numFmtId="168" fontId="13" fillId="0" borderId="0" xfId="5" applyNumberFormat="1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left" vertical="top"/>
    </xf>
    <xf numFmtId="0" fontId="29" fillId="0" borderId="0" xfId="5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horizontal="right" vertical="center"/>
    </xf>
    <xf numFmtId="0" fontId="28" fillId="0" borderId="0" xfId="5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169" fontId="28" fillId="0" borderId="0" xfId="5" applyNumberFormat="1" applyFont="1" applyFill="1" applyBorder="1" applyAlignment="1">
      <alignment horizontal="right" vertical="center"/>
    </xf>
    <xf numFmtId="0" fontId="28" fillId="0" borderId="0" xfId="5" applyFont="1" applyFill="1" applyBorder="1" applyAlignment="1">
      <alignment horizontal="left" vertical="center"/>
    </xf>
    <xf numFmtId="169" fontId="28" fillId="0" borderId="0" xfId="5" applyNumberFormat="1" applyFont="1" applyFill="1" applyBorder="1" applyAlignment="1">
      <alignment vertical="center"/>
    </xf>
    <xf numFmtId="167" fontId="28" fillId="0" borderId="0" xfId="5" applyNumberFormat="1" applyFont="1" applyFill="1" applyBorder="1" applyAlignment="1">
      <alignment horizontal="center" vertical="center"/>
    </xf>
    <xf numFmtId="1" fontId="28" fillId="0" borderId="0" xfId="5" applyNumberFormat="1" applyFont="1" applyFill="1" applyBorder="1" applyAlignment="1">
      <alignment vertical="center"/>
    </xf>
    <xf numFmtId="1" fontId="29" fillId="0" borderId="0" xfId="5" applyNumberFormat="1" applyFont="1" applyFill="1" applyBorder="1" applyAlignment="1"/>
    <xf numFmtId="49" fontId="28" fillId="0" borderId="0" xfId="5" applyNumberFormat="1" applyFont="1" applyFill="1" applyAlignment="1">
      <alignment vertical="center"/>
    </xf>
    <xf numFmtId="0" fontId="17" fillId="0" borderId="0" xfId="5" applyFont="1" applyFill="1" applyAlignment="1"/>
    <xf numFmtId="170" fontId="20" fillId="0" borderId="0" xfId="5" applyNumberFormat="1" applyFont="1" applyAlignment="1"/>
    <xf numFmtId="0" fontId="26" fillId="3" borderId="4" xfId="5" applyFont="1" applyFill="1" applyBorder="1" applyAlignment="1">
      <alignment horizontal="center" vertical="center" wrapText="1"/>
    </xf>
    <xf numFmtId="0" fontId="26" fillId="3" borderId="10" xfId="5" applyFont="1" applyFill="1" applyBorder="1" applyAlignment="1">
      <alignment horizontal="center" vertical="center" wrapText="1"/>
    </xf>
    <xf numFmtId="0" fontId="26" fillId="3" borderId="5" xfId="5" applyFont="1" applyFill="1" applyBorder="1" applyAlignment="1">
      <alignment horizontal="center" vertical="center" wrapText="1"/>
    </xf>
    <xf numFmtId="3" fontId="20" fillId="0" borderId="9" xfId="6" applyNumberFormat="1" applyFont="1" applyBorder="1" applyAlignment="1">
      <alignment wrapText="1"/>
    </xf>
    <xf numFmtId="10" fontId="22" fillId="5" borderId="6" xfId="5" applyNumberFormat="1" applyFont="1" applyFill="1" applyBorder="1"/>
    <xf numFmtId="2" fontId="20" fillId="5" borderId="9" xfId="5" applyNumberFormat="1" applyFont="1" applyFill="1" applyBorder="1" applyAlignment="1"/>
    <xf numFmtId="44" fontId="25" fillId="5" borderId="9" xfId="5" applyNumberFormat="1" applyFont="1" applyFill="1" applyBorder="1"/>
    <xf numFmtId="2" fontId="20" fillId="5" borderId="9" xfId="5" applyNumberFormat="1" applyFont="1" applyFill="1" applyBorder="1" applyAlignment="1">
      <alignment vertical="center"/>
    </xf>
    <xf numFmtId="44" fontId="25" fillId="5" borderId="9" xfId="5" applyNumberFormat="1" applyFont="1" applyFill="1" applyBorder="1" applyAlignment="1">
      <alignment vertical="center"/>
    </xf>
    <xf numFmtId="2" fontId="20" fillId="0" borderId="9" xfId="5" applyNumberFormat="1" applyFont="1" applyBorder="1" applyAlignment="1">
      <alignment vertical="center"/>
    </xf>
    <xf numFmtId="167" fontId="20" fillId="0" borderId="9" xfId="5" applyNumberFormat="1" applyFont="1" applyBorder="1" applyAlignment="1">
      <alignment vertical="center"/>
    </xf>
    <xf numFmtId="167" fontId="20" fillId="0" borderId="0" xfId="5" applyNumberFormat="1" applyFont="1" applyAlignment="1"/>
    <xf numFmtId="167" fontId="20" fillId="0" borderId="0" xfId="5" applyNumberFormat="1" applyFont="1" applyAlignment="1">
      <alignment horizontal="right"/>
    </xf>
    <xf numFmtId="167" fontId="21" fillId="0" borderId="0" xfId="5" applyNumberFormat="1" applyFont="1" applyAlignment="1"/>
    <xf numFmtId="0" fontId="20" fillId="0" borderId="0" xfId="5" applyFont="1" applyBorder="1" applyAlignment="1"/>
    <xf numFmtId="1" fontId="20" fillId="0" borderId="0" xfId="5" applyNumberFormat="1" applyFont="1" applyBorder="1" applyAlignment="1"/>
    <xf numFmtId="0" fontId="31" fillId="0" borderId="0" xfId="5" applyFont="1" applyBorder="1" applyAlignment="1">
      <alignment vertical="center"/>
    </xf>
    <xf numFmtId="0" fontId="17" fillId="0" borderId="0" xfId="5" applyFont="1" applyAlignment="1">
      <alignment horizontal="left" vertical="top"/>
    </xf>
    <xf numFmtId="1" fontId="17" fillId="0" borderId="0" xfId="5" applyNumberFormat="1" applyFont="1" applyBorder="1" applyAlignment="1"/>
    <xf numFmtId="0" fontId="32" fillId="0" borderId="0" xfId="7" applyAlignment="1">
      <alignment vertical="top"/>
    </xf>
    <xf numFmtId="0" fontId="33" fillId="0" borderId="0" xfId="5" applyFont="1" applyBorder="1" applyAlignment="1"/>
    <xf numFmtId="1" fontId="34" fillId="0" borderId="0" xfId="5" applyNumberFormat="1" applyFont="1" applyBorder="1" applyAlignment="1"/>
    <xf numFmtId="0" fontId="34" fillId="0" borderId="0" xfId="5" applyFont="1" applyBorder="1" applyAlignment="1"/>
    <xf numFmtId="167" fontId="35" fillId="0" borderId="0" xfId="5" applyNumberFormat="1" applyFont="1" applyBorder="1" applyAlignment="1">
      <alignment vertical="center"/>
    </xf>
    <xf numFmtId="0" fontId="34" fillId="0" borderId="0" xfId="5" applyFont="1" applyAlignment="1"/>
    <xf numFmtId="1" fontId="20" fillId="0" borderId="0" xfId="5" applyNumberFormat="1" applyFont="1" applyBorder="1" applyAlignment="1">
      <alignment horizontal="right"/>
    </xf>
    <xf numFmtId="0" fontId="20" fillId="0" borderId="0" xfId="5" applyFont="1" applyBorder="1" applyAlignment="1">
      <alignment horizontal="right"/>
    </xf>
    <xf numFmtId="0" fontId="20" fillId="0" borderId="0" xfId="5" applyFont="1" applyAlignment="1">
      <alignment horizontal="right"/>
    </xf>
    <xf numFmtId="0" fontId="36" fillId="0" borderId="0" xfId="5" applyFont="1" applyBorder="1" applyAlignment="1">
      <alignment horizontal="right" vertical="center"/>
    </xf>
    <xf numFmtId="169" fontId="34" fillId="0" borderId="0" xfId="5" applyNumberFormat="1" applyFont="1" applyBorder="1" applyAlignment="1"/>
    <xf numFmtId="9" fontId="34" fillId="0" borderId="0" xfId="8" applyFont="1" applyBorder="1" applyAlignment="1"/>
    <xf numFmtId="169" fontId="34" fillId="0" borderId="0" xfId="5" applyNumberFormat="1" applyFont="1" applyAlignment="1"/>
    <xf numFmtId="169" fontId="35" fillId="0" borderId="0" xfId="5" applyNumberFormat="1" applyFont="1" applyBorder="1" applyAlignment="1">
      <alignment vertical="center"/>
    </xf>
    <xf numFmtId="0" fontId="35" fillId="0" borderId="0" xfId="5" applyFont="1" applyBorder="1" applyAlignment="1">
      <alignment vertical="center"/>
    </xf>
    <xf numFmtId="0" fontId="37" fillId="0" borderId="0" xfId="5" applyFont="1" applyBorder="1" applyAlignment="1"/>
    <xf numFmtId="0" fontId="38" fillId="0" borderId="0" xfId="5" applyFont="1" applyBorder="1" applyAlignment="1"/>
    <xf numFmtId="0" fontId="31" fillId="0" borderId="0" xfId="5" applyFont="1" applyAlignment="1">
      <alignment vertical="center"/>
    </xf>
    <xf numFmtId="0" fontId="37" fillId="0" borderId="0" xfId="5" applyFont="1" applyAlignment="1"/>
    <xf numFmtId="0" fontId="38" fillId="0" borderId="0" xfId="5" applyFont="1" applyAlignment="1"/>
    <xf numFmtId="0" fontId="36" fillId="0" borderId="0" xfId="5" applyFont="1" applyAlignment="1">
      <alignment vertical="center"/>
    </xf>
    <xf numFmtId="2" fontId="28" fillId="0" borderId="0" xfId="5" applyNumberFormat="1" applyFont="1" applyFill="1" applyBorder="1" applyAlignment="1">
      <alignment horizontal="right" vertical="center"/>
    </xf>
    <xf numFmtId="3" fontId="0" fillId="0" borderId="0" xfId="0" applyNumberFormat="1" applyFont="1"/>
    <xf numFmtId="10" fontId="0" fillId="0" borderId="0" xfId="1" applyNumberFormat="1" applyFont="1"/>
    <xf numFmtId="10" fontId="0" fillId="0" borderId="1" xfId="1" applyNumberFormat="1" applyFont="1" applyBorder="1"/>
    <xf numFmtId="3" fontId="0" fillId="0" borderId="1" xfId="0" applyNumberFormat="1" applyFont="1" applyBorder="1"/>
    <xf numFmtId="42" fontId="0" fillId="0" borderId="1" xfId="0" applyNumberFormat="1" applyBorder="1"/>
    <xf numFmtId="166" fontId="2" fillId="0" borderId="1" xfId="0" applyNumberFormat="1" applyFont="1" applyBorder="1"/>
    <xf numFmtId="0" fontId="21" fillId="6" borderId="11" xfId="0" applyNumberFormat="1" applyFont="1" applyFill="1" applyBorder="1" applyAlignment="1" applyProtection="1">
      <alignment wrapText="1"/>
    </xf>
    <xf numFmtId="0" fontId="21" fillId="6" borderId="12" xfId="0" applyNumberFormat="1" applyFont="1" applyFill="1" applyBorder="1" applyAlignment="1" applyProtection="1">
      <alignment wrapText="1"/>
    </xf>
    <xf numFmtId="10" fontId="26" fillId="6" borderId="0" xfId="0" applyNumberFormat="1" applyFont="1" applyFill="1" applyBorder="1" applyAlignment="1" applyProtection="1"/>
    <xf numFmtId="2" fontId="26" fillId="6" borderId="9" xfId="0" applyNumberFormat="1" applyFont="1" applyFill="1" applyBorder="1" applyAlignment="1" applyProtection="1"/>
    <xf numFmtId="44" fontId="26" fillId="6" borderId="9" xfId="0" applyNumberFormat="1" applyFont="1" applyFill="1" applyBorder="1" applyAlignment="1" applyProtection="1"/>
    <xf numFmtId="167" fontId="26" fillId="6" borderId="9" xfId="0" applyNumberFormat="1" applyFont="1" applyFill="1" applyBorder="1" applyAlignment="1" applyProtection="1"/>
    <xf numFmtId="0" fontId="21" fillId="5" borderId="2" xfId="0" applyNumberFormat="1" applyFont="1" applyFill="1" applyBorder="1" applyAlignment="1" applyProtection="1"/>
    <xf numFmtId="2" fontId="22" fillId="5" borderId="10" xfId="0" applyNumberFormat="1" applyFont="1" applyFill="1" applyBorder="1" applyAlignment="1" applyProtection="1"/>
    <xf numFmtId="2" fontId="26" fillId="5" borderId="5" xfId="0" applyNumberFormat="1" applyFont="1" applyFill="1" applyBorder="1" applyAlignment="1" applyProtection="1"/>
    <xf numFmtId="0" fontId="2" fillId="7" borderId="1" xfId="0" applyFont="1" applyFill="1" applyBorder="1" applyAlignment="1">
      <alignment horizontal="center" wrapText="1"/>
    </xf>
    <xf numFmtId="166" fontId="0" fillId="7" borderId="0" xfId="0" applyNumberFormat="1" applyFill="1"/>
    <xf numFmtId="0" fontId="2" fillId="0" borderId="0" xfId="0" applyFont="1" applyAlignment="1">
      <alignment wrapText="1"/>
    </xf>
    <xf numFmtId="5" fontId="0" fillId="0" borderId="0" xfId="0" applyNumberFormat="1"/>
    <xf numFmtId="9" fontId="25" fillId="0" borderId="9" xfId="5" applyNumberFormat="1" applyFont="1" applyFill="1" applyBorder="1"/>
    <xf numFmtId="3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horizontal="left"/>
    </xf>
    <xf numFmtId="166" fontId="0" fillId="7" borderId="13" xfId="0" applyNumberFormat="1" applyFill="1" applyBorder="1"/>
    <xf numFmtId="0" fontId="2" fillId="8" borderId="1" xfId="0" applyFont="1" applyFill="1" applyBorder="1" applyAlignment="1">
      <alignment horizontal="center" wrapText="1"/>
    </xf>
    <xf numFmtId="166" fontId="0" fillId="8" borderId="0" xfId="2" applyNumberFormat="1" applyFont="1" applyFill="1"/>
    <xf numFmtId="166" fontId="0" fillId="8" borderId="13" xfId="2" applyNumberFormat="1" applyFont="1" applyFill="1" applyBorder="1"/>
    <xf numFmtId="0" fontId="2" fillId="9" borderId="14" xfId="0" applyFont="1" applyFill="1" applyBorder="1" applyAlignment="1">
      <alignment horizontal="center" wrapText="1"/>
    </xf>
    <xf numFmtId="171" fontId="0" fillId="9" borderId="0" xfId="0" applyNumberFormat="1" applyFill="1"/>
    <xf numFmtId="171" fontId="0" fillId="9" borderId="14" xfId="0" applyNumberFormat="1" applyFill="1" applyBorder="1"/>
    <xf numFmtId="169" fontId="0" fillId="0" borderId="0" xfId="2" applyNumberFormat="1" applyFont="1" applyAlignment="1">
      <alignment horizontal="right" wrapText="1"/>
    </xf>
    <xf numFmtId="166" fontId="1" fillId="0" borderId="0" xfId="2" applyNumberFormat="1" applyFont="1" applyAlignment="1">
      <alignment horizontal="right"/>
    </xf>
    <xf numFmtId="166" fontId="1" fillId="2" borderId="0" xfId="2" applyNumberFormat="1" applyFont="1" applyFill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1" xfId="2" applyNumberFormat="1" applyFont="1" applyBorder="1" applyAlignment="1">
      <alignment horizontal="right"/>
    </xf>
    <xf numFmtId="166" fontId="2" fillId="0" borderId="0" xfId="2" applyNumberFormat="1" applyFont="1" applyAlignment="1">
      <alignment horizontal="right"/>
    </xf>
    <xf numFmtId="166" fontId="8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66" fontId="6" fillId="0" borderId="1" xfId="2" applyNumberFormat="1" applyFont="1" applyBorder="1" applyAlignment="1">
      <alignment horizontal="right"/>
    </xf>
    <xf numFmtId="166" fontId="0" fillId="0" borderId="0" xfId="2" applyNumberFormat="1" applyFont="1" applyBorder="1" applyAlignment="1">
      <alignment horizontal="right"/>
    </xf>
    <xf numFmtId="166" fontId="0" fillId="2" borderId="1" xfId="2" applyNumberFormat="1" applyFont="1" applyFill="1" applyBorder="1" applyAlignment="1">
      <alignment horizontal="right"/>
    </xf>
    <xf numFmtId="166" fontId="8" fillId="0" borderId="0" xfId="2" applyNumberFormat="1" applyFont="1" applyFill="1" applyAlignment="1">
      <alignment horizontal="right"/>
    </xf>
    <xf numFmtId="166" fontId="6" fillId="0" borderId="0" xfId="2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49" fontId="18" fillId="0" borderId="0" xfId="5" applyNumberFormat="1" applyFont="1" applyAlignment="1">
      <alignment vertical="center"/>
    </xf>
    <xf numFmtId="1" fontId="11" fillId="0" borderId="0" xfId="5" applyNumberFormat="1" applyFont="1" applyFill="1" applyAlignment="1">
      <alignment horizontal="left" vertical="top"/>
    </xf>
    <xf numFmtId="49" fontId="18" fillId="0" borderId="0" xfId="5" applyNumberFormat="1" applyFont="1" applyAlignment="1">
      <alignment vertical="center"/>
    </xf>
  </cellXfs>
  <cellStyles count="9">
    <cellStyle name="Hyperlink 2" xfId="7" xr:uid="{00000000-0005-0000-0000-000001000000}"/>
    <cellStyle name="Normaali" xfId="0" builtinId="0"/>
    <cellStyle name="Normaali 2" xfId="3" xr:uid="{00000000-0005-0000-0000-000003000000}"/>
    <cellStyle name="Normal 2" xfId="5" xr:uid="{00000000-0005-0000-0000-000004000000}"/>
    <cellStyle name="Normal 2 2" xfId="6" xr:uid="{00000000-0005-0000-0000-000005000000}"/>
    <cellStyle name="Otsikko" xfId="4" builtinId="15"/>
    <cellStyle name="Percent 2" xfId="8" xr:uid="{00000000-0005-0000-0000-000007000000}"/>
    <cellStyle name="Pilkku" xfId="2" builtinId="3"/>
    <cellStyle name="Prosenttia" xfId="1" builtinId="5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30" formatCode="@"/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30" formatCode="@"/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9"/>
        <color auto="1"/>
        <name val="Segoe UI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30" formatCode="@"/>
      <fill>
        <patternFill patternType="solid">
          <fgColor indexed="64"/>
          <bgColor theme="2" tint="-9.9978637043366805E-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30" formatCode="@"/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9"/>
        <color auto="1"/>
        <name val="Segoe UI"/>
      </font>
      <numFmt numFmtId="30" formatCode="@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</font>
      <numFmt numFmtId="0" formatCode="General"/>
      <fill>
        <patternFill patternType="solid">
          <fgColor rgb="FF000000"/>
          <bgColor rgb="FFD0CECE"/>
        </patternFill>
      </fill>
      <alignment horizontal="right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167" formatCode="#,##0.00\ &quot;€&quot;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scheme val="none"/>
      </font>
      <numFmt numFmtId="167" formatCode="#,##0.00\ &quot;€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9"/>
        <color rgb="FF000000"/>
        <name val="Segoe UI"/>
        <scheme val="none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9"/>
        <color auto="1"/>
        <name val="Segoe UI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border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9"/>
        <name val="Segoe UI"/>
        <scheme val="none"/>
      </font>
      <numFmt numFmtId="2" formatCode="0.00"/>
      <fill>
        <patternFill patternType="solid">
          <fgColor indexed="64"/>
          <bgColor theme="2"/>
        </patternFill>
      </fill>
      <border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9"/>
        <color auto="1"/>
        <name val="Segoe UI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  <border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2" formatCode="0.00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Segoe UI"/>
        <scheme val="none"/>
      </font>
      <numFmt numFmtId="2" formatCode="0.00"/>
      <fill>
        <patternFill patternType="solid">
          <fgColor indexed="64"/>
          <bgColor theme="2"/>
        </patternFill>
      </fill>
      <border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14" formatCode="0.00\ %"/>
      <fill>
        <patternFill patternType="solid">
          <fgColor indexed="64"/>
          <bgColor rgb="FFD5E5E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4" formatCode="0.00\ %"/>
      <border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family val="2"/>
        <scheme val="none"/>
      </font>
      <numFmt numFmtId="0" formatCode="General"/>
      <fill>
        <patternFill patternType="solid">
          <fgColor indexed="64"/>
          <bgColor rgb="FFD5E5E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Segoe UI"/>
        <family val="2"/>
        <scheme val="none"/>
      </font>
      <numFmt numFmtId="0" formatCode="General"/>
      <fill>
        <patternFill patternType="solid">
          <fgColor indexed="64"/>
          <bgColor rgb="FFD5E5E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rgb="FF000000"/>
        </top>
      </border>
    </dxf>
    <dxf>
      <fill>
        <patternFill>
          <fgColor rgb="FF000000"/>
          <bgColor rgb="FFD5E5E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4761905" cy="761905"/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0"/>
          <a:ext cx="4761905" cy="76190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tku.turku.fi/vapaa-aika/kirjasto/yhteiset_palvelut/vaski/kustannukset/Vaski-lask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hteenveto"/>
      <sheetName val="Asukasluvut 31.12.2017"/>
      <sheetName val="Auroran palvelinkustannukset"/>
      <sheetName val="Taul1"/>
      <sheetName val="Taul2"/>
      <sheetName val="Taul3"/>
      <sheetName val="RDA toolkit"/>
      <sheetName val="Koha-projekti"/>
      <sheetName val="Vaskin 10-vuotisjuhlat"/>
      <sheetName val="E-aineistojen markkinointi"/>
      <sheetName val="Tekstiviestipalvelu"/>
      <sheetName val="Vaskin kehittämispäivä"/>
      <sheetName val="Ellibs"/>
      <sheetName val="ePress"/>
      <sheetName val="Naxos"/>
      <sheetName val="OverDrive"/>
      <sheetName val="Kirjamessukustannukset"/>
      <sheetName val="Kuljetusmateriaalit"/>
      <sheetName val="Painatuskustannukset"/>
      <sheetName val="Turusta annetut tuotteet"/>
      <sheetName val="Kaukolainahyvitykset"/>
      <sheetName val="Kuntien maksuosuudet"/>
      <sheetName val="Laskutusosoitteet"/>
      <sheetName val="Työryhmien kuluerottelu 2019"/>
      <sheetName val="Vaskin työryhmät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untien_asukasluvut_2017" displayName="Kuntien_asukasluvut_2017" ref="B7:J26" totalsRowCount="1" headerRowDxfId="56" totalsRowDxfId="53" headerRowBorderDxfId="55" tableBorderDxfId="54" totalsRowBorderDxfId="52">
  <autoFilter ref="B7:J25" xr:uid="{00000000-0009-0000-0100-000003000000}"/>
  <tableColumns count="9">
    <tableColumn id="1" xr3:uid="{00000000-0010-0000-0000-000001000000}" name="Kunta" totalsRowLabel="Yhteensä" totalsRowDxfId="51" dataCellStyle="Normal 2"/>
    <tableColumn id="2" xr3:uid="{00000000-0010-0000-0000-000002000000}" name="Asukasluku 31.12.2019*" totalsRowFunction="sum" dataDxfId="50" totalsRowDxfId="49" dataCellStyle="Normal 2"/>
    <tableColumn id="3" xr3:uid="{00000000-0010-0000-0000-000003000000}" name="% Vaski-kuntien asukasluvusta" totalsRowFunction="sum" dataDxfId="48" totalsRowDxfId="47" dataCellStyle="Normal 2">
      <calculatedColumnFormula>(Kuntien_asukasluvut_2017[[#This Row],[Asukasluku 31.12.2019*]]/Kuntien_asukasluvut_2017[[#Totals],[Asukasluku 31.12.2019*]])</calculatedColumnFormula>
    </tableColumn>
    <tableColumn id="7" xr3:uid="{00000000-0010-0000-0000-000007000000}" name="Laskennallinen panostus työryhmiin (htv)" totalsRowFunction="sum" dataDxfId="46" totalsRowDxfId="45" dataCellStyle="Normal 2">
      <calculatedColumnFormula>SUM(Kuntien_asukasluvut_2017[[#This Row],[% Vaski-kuntien asukasluvusta]]*$D$4/Kuntien_asukasluvut_2017[[#Totals],[% Vaski-kuntien asukasluvusta]])</calculatedColumnFormula>
    </tableColumn>
    <tableColumn id="4" xr3:uid="{00000000-0010-0000-0000-000004000000}" name="Laskennallinen panostus työryhmiin (€/vuosi)" totalsRowFunction="sum" dataDxfId="44" totalsRowDxfId="43" dataCellStyle="Normal 2">
      <calculatedColumnFormula>SUM(Kuntien_asukasluvut_2017[[#This Row],[Laskennallinen panostus työryhmiin (htv)]]*$D$5)</calculatedColumnFormula>
    </tableColumn>
    <tableColumn id="5" xr3:uid="{00000000-0010-0000-0000-000005000000}" name="Todellinen panostus työryhmiin (htv)" totalsRowFunction="sum" dataDxfId="42" totalsRowDxfId="41" dataCellStyle="Normal 2">
      <calculatedColumnFormula>'Työryhmät 2021'!P5</calculatedColumnFormula>
    </tableColumn>
    <tableColumn id="6" xr3:uid="{00000000-0010-0000-0000-000006000000}" name="Todellinen panostus työryhmiin (€/vuosi)" totalsRowFunction="sum" dataDxfId="40" totalsRowDxfId="39" dataCellStyle="Normal 2">
      <calculatedColumnFormula>SUM(Kuntien_asukasluvut_2017[[#This Row],[Todellinen panostus työryhmiin (htv)]]*$D$5)</calculatedColumnFormula>
    </tableColumn>
    <tableColumn id="8" xr3:uid="{00000000-0010-0000-0000-000008000000}" name="Laskennallisen ja todellisen panoksen ero (htv)" totalsRowFunction="sum" dataDxfId="38" totalsRowDxfId="37" dataCellStyle="Normal 2">
      <calculatedColumnFormula>SUM(Kuntien_asukasluvut_2017[[#This Row],[Laskennallinen panostus työryhmiin (htv)]]-Kuntien_asukasluvut_2017[[#This Row],[Todellinen panostus työryhmiin (htv)]])</calculatedColumnFormula>
    </tableColumn>
    <tableColumn id="9" xr3:uid="{00000000-0010-0000-0000-000009000000}" name="Laskennallisen ja todellisen panoksen ero (€/vuosi)" totalsRowFunction="sum" dataDxfId="36" totalsRowDxfId="35" dataCellStyle="Normal 2">
      <calculatedColumnFormula>SUM(Kuntien_asukasluvut_2017[[#This Row],[Laskennallinen panostus työryhmiin (€/vuosi)]]-Kuntien_asukasluvut_2017[[#This Row],[Todellinen panostus työryhmiin (€/vuosi)]])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askin_työryhmät" displayName="Vaskin_työryhmät" ref="B4:G61" headerRowDxfId="34" totalsRowDxfId="31" headerRowBorderDxfId="33" tableBorderDxfId="32" totalsRowBorderDxfId="30">
  <tableColumns count="6">
    <tableColumn id="1" xr3:uid="{00000000-0010-0000-0100-000001000000}" name="#" totalsRowFunction="custom" dataDxfId="29" totalsRowDxfId="28">
      <totalsRowFormula>SUM(B13,B23,B33,B43,B48,B54)</totalsRowFormula>
    </tableColumn>
    <tableColumn id="8" xr3:uid="{00000000-0010-0000-0100-000008000000}" name="Rooli / vastuualue" dataDxfId="27" totalsRowDxfId="26"/>
    <tableColumn id="3" xr3:uid="{00000000-0010-0000-0100-000003000000}" name="Nimi" totalsRowDxfId="25"/>
    <tableColumn id="7" xr3:uid="{00000000-0010-0000-0100-000007000000}" name="Kunta / kaupunki" totalsRowLabel="Yhteensä:" dataDxfId="24" totalsRowDxfId="23"/>
    <tableColumn id="6" xr3:uid="{00000000-0010-0000-0100-000006000000}" name="Työaika-%" totalsRowFunction="custom" totalsRowDxfId="22">
      <totalsRowFormula>SUM(F13,F23,F33,F43,F48,F54)</totalsRowFormula>
    </tableColumn>
    <tableColumn id="12" xr3:uid="{00000000-0010-0000-0100-00000C000000}" name="Huomautus" totalsRowLabel="htv" dataDxfId="21" totalsRowDxfId="20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Kuntakohtaiset_henkilötyövuodet" displayName="Kuntakohtaiset_henkilötyövuodet" ref="I4:P23" totalsRowCount="1" headerRowDxfId="19" dataDxfId="17" headerRowBorderDxfId="18" tableBorderDxfId="16">
  <autoFilter ref="I4:P22" xr:uid="{00000000-0009-0000-0100-000002000000}"/>
  <tableColumns count="8">
    <tableColumn id="1" xr3:uid="{00000000-0010-0000-0200-000001000000}" name="Kunta / kaupunki" totalsRowLabel="Kaikki kunnat" dataDxfId="15" totalsRowDxfId="14" dataCellStyle="Normal 2"/>
    <tableColumn id="2" xr3:uid="{00000000-0010-0000-0200-000002000000}" name="Ryhmä 1" totalsRowFunction="sum" dataDxfId="13" totalsRowDxfId="12" dataCellStyle="Normal 2">
      <calculatedColumnFormula>IF('[1]Vaskin työryhmät 2019'!$E$6=Kuntakohtaiset_henkilötyövuodet[[#This Row],[Kunta / kaupunki]], $F$6, "0")+IF('[1]Vaskin työryhmät 2019'!$E$7=Kuntakohtaiset_henkilötyövuodet[[#This Row],[Kunta / kaupunki]], $F$7, "0")+IF('[1]Vaskin työryhmät 2019'!$E$8=Kuntakohtaiset_henkilötyövuodet[[#This Row],[Kunta / kaupunki]], $F$8, "0")+IF('[1]Vaskin työryhmät 2019'!$E$9=Kuntakohtaiset_henkilötyövuodet[[#This Row],[Kunta / kaupunki]], $F$9, "0")+IF('[1]Vaskin työryhmät 2019'!$E$10=Kuntakohtaiset_henkilötyövuodet[[#This Row],[Kunta / kaupunki]], $F$10, "0")+IF('[1]Vaskin työryhmät 2019'!$E$11=Kuntakohtaiset_henkilötyövuodet[[#This Row],[Kunta / kaupunki]],#REF!, "0")+IF('[1]Vaskin työryhmät 2019'!$E$12=Kuntakohtaiset_henkilötyövuodet[[#This Row],[Kunta / kaupunki]], $F$11, "0")+IF('[1]Vaskin työryhmät 2019'!$E$13=Kuntakohtaiset_henkilötyövuodet[[#This Row],[Kunta / kaupunki]], $F$12, "0")</calculatedColumnFormula>
    </tableColumn>
    <tableColumn id="3" xr3:uid="{00000000-0010-0000-0200-000003000000}" name="Ryhmä 2" totalsRowFunction="sum" dataDxfId="11" totalsRowDxfId="10" dataCellStyle="Normal 2">
      <calculatedColumnFormula>IF('[1]Vaskin työryhmät 2019'!$E$16=Kuntakohtaiset_henkilötyövuodet[[#This Row],[Kunta / kaupunki]], $F$15, "0")+IF('[1]Vaskin työryhmät 2019'!$E$17=Kuntakohtaiset_henkilötyövuodet[[#This Row],[Kunta / kaupunki]], $F$16, "0")+IF('[1]Vaskin työryhmät 2019'!$E$18=Kuntakohtaiset_henkilötyövuodet[[#This Row],[Kunta / kaupunki]], $F$17, "0")+IF('[1]Vaskin työryhmät 2019'!$E$19=Kuntakohtaiset_henkilötyövuodet[[#This Row],[Kunta / kaupunki]], $F$18, "0")+IF('[1]Vaskin työryhmät 2019'!$E$20=Kuntakohtaiset_henkilötyövuodet[[#This Row],[Kunta / kaupunki]], $F$19, "0")+IF('[1]Vaskin työryhmät 2019'!$E$21=Kuntakohtaiset_henkilötyövuodet[[#This Row],[Kunta / kaupunki]], $F$20, "0")+IF('[1]Vaskin työryhmät 2019'!$E$22=Kuntakohtaiset_henkilötyövuodet[[#This Row],[Kunta / kaupunki]], $F$21, "0")+IF('[1]Vaskin työryhmät 2019'!$E$23=Kuntakohtaiset_henkilötyövuodet[[#This Row],[Kunta / kaupunki]], $F$22, "0")</calculatedColumnFormula>
    </tableColumn>
    <tableColumn id="4" xr3:uid="{00000000-0010-0000-0200-000004000000}" name="Ryhmä 3" totalsRowFunction="sum" dataDxfId="9" totalsRowDxfId="8" dataCellStyle="Normal 2">
      <calculatedColumnFormula>IF('[1]Vaskin työryhmät 2019'!$E$26=Kuntakohtaiset_henkilötyövuodet[[#This Row],[Kunta / kaupunki]], $F$25, "0")+IF('[1]Vaskin työryhmät 2019'!$E$27=Kuntakohtaiset_henkilötyövuodet[[#This Row],[Kunta / kaupunki]], $F$26, "0")+IF('[1]Vaskin työryhmät 2019'!$E$28=Kuntakohtaiset_henkilötyövuodet[[#This Row],[Kunta / kaupunki]], $F$27, "0")+IF('[1]Vaskin työryhmät 2019'!$E$29=Kuntakohtaiset_henkilötyövuodet[[#This Row],[Kunta / kaupunki]], $F$28, "0")+IF('[1]Vaskin työryhmät 2019'!$E$30=Kuntakohtaiset_henkilötyövuodet[[#This Row],[Kunta / kaupunki]], $F$29, "0")+IF('[1]Vaskin työryhmät 2019'!$E$31=Kuntakohtaiset_henkilötyövuodet[[#This Row],[Kunta / kaupunki]], $F$30, "0")+IF('[1]Vaskin työryhmät 2019'!$E$32=Kuntakohtaiset_henkilötyövuodet[[#This Row],[Kunta / kaupunki]], $F$31, "0")+IF('[1]Vaskin työryhmät 2019'!$E$33=Kuntakohtaiset_henkilötyövuodet[[#This Row],[Kunta / kaupunki]], $F$32, "0")</calculatedColumnFormula>
    </tableColumn>
    <tableColumn id="5" xr3:uid="{00000000-0010-0000-0200-000005000000}" name="Ryhmä 4" totalsRowFunction="sum" dataDxfId="7" totalsRowDxfId="6" dataCellStyle="Normal 2">
      <calculatedColumnFormula>IF('[1]Vaskin työryhmät 2019'!$E$36=Kuntakohtaiset_henkilötyövuodet[[#This Row],[Kunta / kaupunki]], $F$35, "0")+IF('[1]Vaskin työryhmät 2019'!$E$37=Kuntakohtaiset_henkilötyövuodet[[#This Row],[Kunta / kaupunki]], $F$36, "0")+IF('[1]Vaskin työryhmät 2019'!$E$38=Kuntakohtaiset_henkilötyövuodet[[#This Row],[Kunta / kaupunki]], $F$37, "0")+IF('[1]Vaskin työryhmät 2019'!$E$39=Kuntakohtaiset_henkilötyövuodet[[#This Row],[Kunta / kaupunki]], $F$38, "0")+IF('[1]Vaskin työryhmät 2019'!$E$40=Kuntakohtaiset_henkilötyövuodet[[#This Row],[Kunta / kaupunki]], $F$39, "0")+IF('[1]Vaskin työryhmät 2019'!$E$41=Kuntakohtaiset_henkilötyövuodet[[#This Row],[Kunta / kaupunki]], $F$40, "0")+IF('[1]Vaskin työryhmät 2019'!$E$42=Kuntakohtaiset_henkilötyövuodet[[#This Row],[Kunta / kaupunki]], $F$41, "0")+IF('[1]Vaskin työryhmät 2019'!$E$43=Kuntakohtaiset_henkilötyövuodet[[#This Row],[Kunta / kaupunki]], $F$42, "0")</calculatedColumnFormula>
    </tableColumn>
    <tableColumn id="6" xr3:uid="{00000000-0010-0000-0200-000006000000}" name="Ryhmä 5" totalsRowFunction="sum" dataDxfId="5" totalsRowDxfId="4" dataCellStyle="Normal 2">
      <calculatedColumnFormula>IF('[1]Vaskin työryhmät 2019'!$E$46=Kuntakohtaiset_henkilötyövuodet[[#This Row],[Kunta / kaupunki]], $F$45, "0")+IF('[1]Vaskin työryhmät 2019'!$E$47=Kuntakohtaiset_henkilötyövuodet[[#This Row],[Kunta / kaupunki]], $F$46, "0")+IF('[1]Vaskin työryhmät 2019'!$E$48=Kuntakohtaiset_henkilötyövuodet[[#This Row],[Kunta / kaupunki]], $F$47, "0")</calculatedColumnFormula>
    </tableColumn>
    <tableColumn id="7" xr3:uid="{00000000-0010-0000-0200-000007000000}" name="Ryhmä 6" totalsRowFunction="sum" dataDxfId="3" totalsRowDxfId="2" dataCellStyle="Normal 2">
      <calculatedColumnFormula>IF('[1]Vaskin työryhmät 2019'!$E$52=Kuntakohtaiset_henkilötyövuodet[[#This Row],[Kunta / kaupunki]], $F$51, "0")+IF('[1]Vaskin työryhmät 2019'!$E$53=Kuntakohtaiset_henkilötyövuodet[[#This Row],[Kunta / kaupunki]], $F$52, "0")+IF('[1]Vaskin työryhmät 2019'!$E$54=Kuntakohtaiset_henkilötyövuodet[[#This Row],[Kunta / kaupunki]], $F$53, "0")+IF('[1]Vaskin työryhmät 2019'!$E$55=Kuntakohtaiset_henkilötyövuodet[[#This Row],[Kunta / kaupunki]], $F$54, "0")+IF('[1]Vaskin työryhmät 2019'!$E$56=Kuntakohtaiset_henkilötyövuodet[[#This Row],[Kunta / kaupunki]], $F$55, "0")+IF('[1]Vaskin työryhmät 2019'!$E$57=Kuntakohtaiset_henkilötyövuodet[[#This Row],[Kunta / kaupunki]], $F$56, "0")+IF('[1]Vaskin työryhmät 2019'!$E$58=Kuntakohtaiset_henkilötyövuodet[[#This Row],[Kunta / kaupunki]], $F$57, "0")+IF('[1]Vaskin työryhmät 2019'!$E$59=Kuntakohtaiset_henkilötyövuodet[[#This Row],[Kunta / kaupunki]], $F$58, "0")</calculatedColumnFormula>
    </tableColumn>
    <tableColumn id="8" xr3:uid="{00000000-0010-0000-0200-000008000000}" name="htv ryhmissä yhteensä" totalsRowFunction="sum" dataDxfId="1" totalsRowDxfId="0" dataCellStyle="Normal 2">
      <calculatedColumnFormula>SUM(J5:O5)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pxnet2.stat.fi/PXWeb/pxweb/fi/StatFin/StatFin__vrm__vaerak/statfin_vaerak_pxt_006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abSelected="1" workbookViewId="0">
      <selection activeCell="B6" sqref="B6"/>
    </sheetView>
  </sheetViews>
  <sheetFormatPr defaultRowHeight="12.75"/>
  <cols>
    <col min="1" max="1" width="44.7109375" customWidth="1"/>
    <col min="2" max="2" width="15.140625" customWidth="1"/>
    <col min="3" max="3" width="12.5703125" customWidth="1"/>
    <col min="4" max="4" width="16.7109375" customWidth="1"/>
    <col min="5" max="6" width="14.85546875" customWidth="1"/>
    <col min="7" max="7" width="13.5703125" customWidth="1"/>
    <col min="8" max="8" width="14.28515625" customWidth="1"/>
  </cols>
  <sheetData>
    <row r="1" spans="1:7" ht="18">
      <c r="A1" s="9" t="s">
        <v>0</v>
      </c>
    </row>
    <row r="2" spans="1:7">
      <c r="A2" s="4"/>
      <c r="D2" s="5" t="s">
        <v>1</v>
      </c>
    </row>
    <row r="3" spans="1:7" ht="25.5">
      <c r="A3" s="4" t="s">
        <v>2</v>
      </c>
      <c r="B3" s="7" t="s">
        <v>3</v>
      </c>
      <c r="C3" s="7"/>
      <c r="D3" s="7"/>
    </row>
    <row r="4" spans="1:7">
      <c r="A4" s="4" t="s">
        <v>4</v>
      </c>
      <c r="B4" s="7"/>
      <c r="C4" s="7"/>
      <c r="D4" s="7"/>
    </row>
    <row r="5" spans="1:7">
      <c r="A5" s="10" t="s">
        <v>5</v>
      </c>
      <c r="B5" s="213">
        <f>(2650+0.5*2600)*1.25*12</f>
        <v>59250</v>
      </c>
      <c r="C5" t="s">
        <v>6</v>
      </c>
      <c r="D5" s="205" t="s">
        <v>7</v>
      </c>
      <c r="E5" s="204"/>
      <c r="F5" s="204"/>
      <c r="G5" s="204"/>
    </row>
    <row r="6" spans="1:7">
      <c r="A6" s="10" t="s">
        <v>8</v>
      </c>
      <c r="B6" s="213">
        <f>0.95*'Työryhmien kuluerottelu'!E33*12</f>
        <v>38560.5</v>
      </c>
      <c r="D6" s="205" t="s">
        <v>9</v>
      </c>
      <c r="E6" s="204"/>
      <c r="F6" s="204"/>
      <c r="G6" s="204"/>
    </row>
    <row r="7" spans="1:7">
      <c r="A7" t="s">
        <v>10</v>
      </c>
      <c r="B7" s="214">
        <v>0</v>
      </c>
      <c r="C7" s="12"/>
      <c r="D7" s="11"/>
    </row>
    <row r="8" spans="1:7">
      <c r="A8" t="s">
        <v>11</v>
      </c>
      <c r="B8" s="214">
        <v>8000</v>
      </c>
      <c r="C8" s="12"/>
      <c r="D8" s="11" t="s">
        <v>12</v>
      </c>
    </row>
    <row r="9" spans="1:7">
      <c r="A9" s="10" t="s">
        <v>13</v>
      </c>
      <c r="B9" s="215">
        <v>2000</v>
      </c>
      <c r="C9" s="11"/>
      <c r="D9" s="11" t="s">
        <v>14</v>
      </c>
    </row>
    <row r="10" spans="1:7">
      <c r="A10" s="30" t="s">
        <v>15</v>
      </c>
      <c r="B10" s="216">
        <v>5000</v>
      </c>
      <c r="C10" s="11"/>
      <c r="D10" s="11" t="s">
        <v>16</v>
      </c>
    </row>
    <row r="11" spans="1:7">
      <c r="A11" s="27" t="s">
        <v>17</v>
      </c>
      <c r="B11" s="217">
        <v>24000</v>
      </c>
      <c r="C11" s="19"/>
      <c r="D11" s="19"/>
    </row>
    <row r="12" spans="1:7">
      <c r="A12" s="17" t="s">
        <v>18</v>
      </c>
      <c r="B12" s="218">
        <f>SUM(B5:B11)</f>
        <v>136810.5</v>
      </c>
      <c r="C12" s="11"/>
      <c r="D12" s="11"/>
    </row>
    <row r="13" spans="1:7">
      <c r="A13" s="17"/>
      <c r="B13" s="219"/>
      <c r="C13" s="11"/>
      <c r="D13" s="11"/>
    </row>
    <row r="14" spans="1:7">
      <c r="A14" s="4" t="s">
        <v>19</v>
      </c>
      <c r="B14" s="220"/>
      <c r="C14" s="15"/>
      <c r="D14" s="15"/>
    </row>
    <row r="15" spans="1:7">
      <c r="A15" s="27" t="s">
        <v>20</v>
      </c>
      <c r="B15" s="221">
        <v>1500</v>
      </c>
      <c r="C15" s="19"/>
      <c r="D15" s="19"/>
    </row>
    <row r="16" spans="1:7">
      <c r="A16" s="17" t="s">
        <v>21</v>
      </c>
      <c r="B16" s="219">
        <f>SUM(B15:B15)</f>
        <v>1500</v>
      </c>
      <c r="C16" s="19"/>
      <c r="D16" s="19"/>
    </row>
    <row r="17" spans="1:4">
      <c r="A17" s="17"/>
      <c r="B17" s="218"/>
      <c r="C17" s="25"/>
      <c r="D17" s="25"/>
    </row>
    <row r="18" spans="1:4">
      <c r="A18" s="4" t="s">
        <v>22</v>
      </c>
      <c r="B18" s="222"/>
      <c r="C18" s="25"/>
      <c r="D18" s="25"/>
    </row>
    <row r="19" spans="1:4">
      <c r="A19" s="18" t="s">
        <v>23</v>
      </c>
      <c r="B19" s="222">
        <v>112000</v>
      </c>
      <c r="C19" s="25"/>
      <c r="D19" s="25" t="s">
        <v>24</v>
      </c>
    </row>
    <row r="20" spans="1:4">
      <c r="A20" s="31" t="s">
        <v>25</v>
      </c>
      <c r="B20" s="223">
        <v>63000</v>
      </c>
      <c r="C20" s="25"/>
      <c r="D20" s="25"/>
    </row>
    <row r="21" spans="1:4">
      <c r="A21" s="17" t="s">
        <v>26</v>
      </c>
      <c r="B21" s="219">
        <f>SUM(B19:B20)</f>
        <v>175000</v>
      </c>
      <c r="C21" s="25"/>
      <c r="D21" s="25"/>
    </row>
    <row r="22" spans="1:4">
      <c r="A22" s="23"/>
      <c r="B22" s="224"/>
      <c r="C22" s="20"/>
      <c r="D22" s="43"/>
    </row>
    <row r="23" spans="1:4">
      <c r="A23" s="21" t="s">
        <v>27</v>
      </c>
      <c r="B23" s="220"/>
      <c r="C23" s="24"/>
      <c r="D23" s="24"/>
    </row>
    <row r="24" spans="1:4">
      <c r="A24" t="s">
        <v>28</v>
      </c>
      <c r="B24" s="216"/>
      <c r="C24" s="11"/>
      <c r="D24" s="11" t="s">
        <v>29</v>
      </c>
    </row>
    <row r="25" spans="1:4">
      <c r="A25" t="s">
        <v>30</v>
      </c>
      <c r="B25" s="225">
        <v>3500</v>
      </c>
      <c r="C25" s="11"/>
      <c r="D25" s="11"/>
    </row>
    <row r="26" spans="1:4">
      <c r="A26" s="26" t="s">
        <v>31</v>
      </c>
      <c r="B26" s="216">
        <v>2000</v>
      </c>
      <c r="C26" s="26"/>
      <c r="D26" s="11" t="s">
        <v>32</v>
      </c>
    </row>
    <row r="27" spans="1:4">
      <c r="A27" s="17" t="s">
        <v>33</v>
      </c>
      <c r="B27" s="226">
        <f>SUM(B24:B26)</f>
        <v>5500</v>
      </c>
    </row>
    <row r="28" spans="1:4">
      <c r="B28" s="220"/>
      <c r="C28" s="16"/>
      <c r="D28" s="16"/>
    </row>
    <row r="29" spans="1:4">
      <c r="A29" s="6" t="s">
        <v>34</v>
      </c>
      <c r="B29" s="218">
        <f>B12+B16+B21+B27</f>
        <v>318810.5</v>
      </c>
    </row>
    <row r="34" spans="1:7" ht="18">
      <c r="A34" s="9" t="s">
        <v>35</v>
      </c>
      <c r="B34" s="1"/>
      <c r="D34" s="5"/>
    </row>
    <row r="35" spans="1:7" ht="38.25">
      <c r="A35" s="2" t="s">
        <v>36</v>
      </c>
      <c r="B35" s="3" t="s">
        <v>37</v>
      </c>
      <c r="C35" s="3" t="s">
        <v>38</v>
      </c>
      <c r="D35" s="198" t="s">
        <v>39</v>
      </c>
      <c r="E35" s="207" t="s">
        <v>40</v>
      </c>
      <c r="F35" s="210" t="s">
        <v>41</v>
      </c>
      <c r="G35" s="200"/>
    </row>
    <row r="36" spans="1:7">
      <c r="A36" s="37" t="s">
        <v>42</v>
      </c>
      <c r="B36" s="203">
        <v>33937</v>
      </c>
      <c r="C36" s="184">
        <f>B36/$B$54</f>
        <v>8.175305215891461E-2</v>
      </c>
      <c r="D36" s="199">
        <f>C36*B$29</f>
        <v>26063.731435309648</v>
      </c>
      <c r="E36" s="208">
        <v>18059</v>
      </c>
      <c r="F36" s="211">
        <f>D36-E36</f>
        <v>8004.7314353096481</v>
      </c>
      <c r="G36" s="13" t="s">
        <v>43</v>
      </c>
    </row>
    <row r="37" spans="1:7">
      <c r="A37" s="38" t="s">
        <v>44</v>
      </c>
      <c r="B37" s="183">
        <v>949</v>
      </c>
      <c r="C37" s="184">
        <f t="shared" ref="C37:C53" si="0">B37/$B$54</f>
        <v>2.2861079794563449E-3</v>
      </c>
      <c r="D37" s="199">
        <f t="shared" ref="D37:D53" si="1">C37*B$29</f>
        <v>728.835227984467</v>
      </c>
      <c r="E37" s="208">
        <v>781</v>
      </c>
      <c r="F37" s="211">
        <f t="shared" ref="F37:F54" si="2">D37-E37</f>
        <v>-52.164772015533003</v>
      </c>
      <c r="G37" s="13"/>
    </row>
    <row r="38" spans="1:7">
      <c r="A38" s="37" t="s">
        <v>45</v>
      </c>
      <c r="B38" s="183">
        <v>8588</v>
      </c>
      <c r="C38" s="184">
        <f t="shared" si="0"/>
        <v>2.0688193179737711E-2</v>
      </c>
      <c r="D38" s="199">
        <f t="shared" si="1"/>
        <v>6595.6132117287698</v>
      </c>
      <c r="E38" s="208">
        <v>7290</v>
      </c>
      <c r="F38" s="211">
        <f t="shared" si="2"/>
        <v>-694.38678827123022</v>
      </c>
      <c r="G38" s="13"/>
    </row>
    <row r="39" spans="1:7">
      <c r="A39" s="38" t="s">
        <v>46</v>
      </c>
      <c r="B39" s="183">
        <v>19994</v>
      </c>
      <c r="C39" s="184">
        <f t="shared" si="0"/>
        <v>4.8164850306902166E-2</v>
      </c>
      <c r="D39" s="199">
        <f t="shared" si="1"/>
        <v>15355.460008768632</v>
      </c>
      <c r="E39" s="208">
        <v>16718</v>
      </c>
      <c r="F39" s="211">
        <f t="shared" si="2"/>
        <v>-1362.5399912313678</v>
      </c>
      <c r="G39" s="13"/>
    </row>
    <row r="40" spans="1:7">
      <c r="A40" s="37" t="s">
        <v>47</v>
      </c>
      <c r="B40" s="183">
        <v>9534</v>
      </c>
      <c r="C40" s="184">
        <f t="shared" si="0"/>
        <v>2.2967074263579336E-2</v>
      </c>
      <c r="D40" s="199">
        <f t="shared" si="1"/>
        <v>7322.1444295088595</v>
      </c>
      <c r="E40" s="208">
        <v>8054</v>
      </c>
      <c r="F40" s="211">
        <f t="shared" si="2"/>
        <v>-731.8555704911405</v>
      </c>
      <c r="G40" s="13"/>
    </row>
    <row r="41" spans="1:7">
      <c r="A41" s="37" t="s">
        <v>48</v>
      </c>
      <c r="B41" s="183">
        <v>7654</v>
      </c>
      <c r="C41" s="184">
        <f t="shared" si="0"/>
        <v>1.8438219678354965E-2</v>
      </c>
      <c r="D41" s="199">
        <f t="shared" si="1"/>
        <v>5878.2980347661851</v>
      </c>
      <c r="E41" s="208">
        <v>6547</v>
      </c>
      <c r="F41" s="211">
        <f t="shared" si="2"/>
        <v>-668.70196523381492</v>
      </c>
      <c r="G41" s="13"/>
    </row>
    <row r="42" spans="1:7">
      <c r="A42" s="37" t="s">
        <v>49</v>
      </c>
      <c r="B42" s="183">
        <v>19314</v>
      </c>
      <c r="C42" s="184">
        <f t="shared" si="0"/>
        <v>4.6526753967565691E-2</v>
      </c>
      <c r="D42" s="199">
        <f t="shared" si="1"/>
        <v>14833.217695776602</v>
      </c>
      <c r="E42" s="208">
        <v>8106</v>
      </c>
      <c r="F42" s="211">
        <f t="shared" si="2"/>
        <v>6727.2176957766023</v>
      </c>
      <c r="G42" s="13"/>
    </row>
    <row r="43" spans="1:7">
      <c r="A43" s="37" t="s">
        <v>50</v>
      </c>
      <c r="B43" s="183">
        <v>4715</v>
      </c>
      <c r="C43" s="184">
        <f t="shared" si="0"/>
        <v>1.1358270941134526E-2</v>
      </c>
      <c r="D43" s="199">
        <f t="shared" si="1"/>
        <v>3621.1360378785689</v>
      </c>
      <c r="E43" s="208">
        <v>3990</v>
      </c>
      <c r="F43" s="211">
        <f t="shared" si="2"/>
        <v>-368.86396212143109</v>
      </c>
      <c r="G43" s="13"/>
    </row>
    <row r="44" spans="1:7">
      <c r="A44" s="37" t="s">
        <v>51</v>
      </c>
      <c r="B44" s="183">
        <v>10850</v>
      </c>
      <c r="C44" s="184">
        <f t="shared" si="0"/>
        <v>2.6137272473236398E-2</v>
      </c>
      <c r="D44" s="199">
        <f t="shared" si="1"/>
        <v>8332.8369058287317</v>
      </c>
      <c r="E44" s="208">
        <v>7102</v>
      </c>
      <c r="F44" s="211">
        <f t="shared" si="2"/>
        <v>1230.8369058287317</v>
      </c>
      <c r="G44" s="13"/>
    </row>
    <row r="45" spans="1:7">
      <c r="A45" s="37" t="s">
        <v>52</v>
      </c>
      <c r="B45" s="183">
        <v>2004</v>
      </c>
      <c r="C45" s="184">
        <f t="shared" si="0"/>
        <v>4.8275662706327872E-3</v>
      </c>
      <c r="D45" s="199">
        <f t="shared" si="1"/>
        <v>1539.0788165235742</v>
      </c>
      <c r="E45" s="208">
        <v>1710</v>
      </c>
      <c r="F45" s="211">
        <f t="shared" si="2"/>
        <v>-170.92118347642577</v>
      </c>
      <c r="G45" s="13"/>
    </row>
    <row r="46" spans="1:7">
      <c r="A46" s="37" t="s">
        <v>53</v>
      </c>
      <c r="B46" s="183">
        <v>24056</v>
      </c>
      <c r="C46" s="184">
        <f t="shared" si="0"/>
        <v>5.7950066969232696E-2</v>
      </c>
      <c r="D46" s="199">
        <f t="shared" si="1"/>
        <v>18475.089825494561</v>
      </c>
      <c r="E46" s="208">
        <v>14294</v>
      </c>
      <c r="F46" s="211">
        <f t="shared" si="2"/>
        <v>4181.0898254945605</v>
      </c>
      <c r="G46" s="13"/>
    </row>
    <row r="47" spans="1:7">
      <c r="A47" s="37" t="s">
        <v>54</v>
      </c>
      <c r="B47" s="183">
        <v>6327</v>
      </c>
      <c r="C47" s="184">
        <f t="shared" si="0"/>
        <v>1.5241522851443933E-2</v>
      </c>
      <c r="D47" s="199">
        <f t="shared" si="1"/>
        <v>4859.1575210302663</v>
      </c>
      <c r="E47" s="208">
        <v>5270</v>
      </c>
      <c r="F47" s="211">
        <f t="shared" si="2"/>
        <v>-410.84247896973375</v>
      </c>
      <c r="G47" s="13"/>
    </row>
    <row r="48" spans="1:7">
      <c r="A48" s="37" t="s">
        <v>55</v>
      </c>
      <c r="B48" s="183">
        <v>51833</v>
      </c>
      <c r="C48" s="184">
        <f t="shared" si="0"/>
        <v>0.12486389346592278</v>
      </c>
      <c r="D48" s="199">
        <f t="shared" si="1"/>
        <v>39807.920307817571</v>
      </c>
      <c r="E48" s="208">
        <v>35990</v>
      </c>
      <c r="F48" s="211">
        <f t="shared" si="2"/>
        <v>3817.9203078175706</v>
      </c>
      <c r="G48" s="13"/>
    </row>
    <row r="49" spans="1:7">
      <c r="A49" s="37" t="s">
        <v>56</v>
      </c>
      <c r="B49" s="183">
        <v>2945</v>
      </c>
      <c r="C49" s="184">
        <f t="shared" si="0"/>
        <v>7.094402528449879E-3</v>
      </c>
      <c r="D49" s="199">
        <f t="shared" si="1"/>
        <v>2261.77001729637</v>
      </c>
      <c r="E49" s="208">
        <v>2524</v>
      </c>
      <c r="F49" s="211">
        <f t="shared" si="2"/>
        <v>-262.22998270362996</v>
      </c>
      <c r="G49" s="13"/>
    </row>
    <row r="50" spans="1:7">
      <c r="A50" s="37" t="s">
        <v>57</v>
      </c>
      <c r="B50" s="183">
        <v>1639</v>
      </c>
      <c r="C50" s="184">
        <f t="shared" si="0"/>
        <v>3.9482939708418855E-3</v>
      </c>
      <c r="D50" s="199">
        <f t="shared" si="1"/>
        <v>1258.757574991087</v>
      </c>
      <c r="E50" s="208">
        <v>-628</v>
      </c>
      <c r="F50" s="211">
        <f t="shared" si="2"/>
        <v>1886.757574991087</v>
      </c>
      <c r="G50" s="13"/>
    </row>
    <row r="51" spans="1:7">
      <c r="A51" s="37" t="s">
        <v>58</v>
      </c>
      <c r="B51" s="183">
        <v>192962</v>
      </c>
      <c r="C51" s="184">
        <f t="shared" si="0"/>
        <v>0.46483874386918356</v>
      </c>
      <c r="D51" s="199">
        <f t="shared" si="1"/>
        <v>148195.47235230636</v>
      </c>
      <c r="E51" s="208">
        <v>76060</v>
      </c>
      <c r="F51" s="211">
        <f t="shared" si="2"/>
        <v>72135.472352306359</v>
      </c>
      <c r="G51" s="13"/>
    </row>
    <row r="52" spans="1:7">
      <c r="A52" s="38" t="s">
        <v>59</v>
      </c>
      <c r="B52" s="183">
        <v>15522</v>
      </c>
      <c r="C52" s="184">
        <f t="shared" si="0"/>
        <v>3.7391957910559936E-2</v>
      </c>
      <c r="D52" s="199">
        <f t="shared" si="1"/>
        <v>11920.948797444569</v>
      </c>
      <c r="E52" s="208">
        <v>11206</v>
      </c>
      <c r="F52" s="211">
        <f t="shared" si="2"/>
        <v>714.94879744456921</v>
      </c>
      <c r="G52" s="13"/>
    </row>
    <row r="53" spans="1:7">
      <c r="A53" s="39" t="s">
        <v>60</v>
      </c>
      <c r="B53" s="186">
        <v>2293</v>
      </c>
      <c r="C53" s="185">
        <f t="shared" si="0"/>
        <v>5.5237572148507889E-3</v>
      </c>
      <c r="D53" s="199">
        <f t="shared" si="1"/>
        <v>1761.0317995451874</v>
      </c>
      <c r="E53" s="208">
        <v>1926</v>
      </c>
      <c r="F53" s="212">
        <f t="shared" si="2"/>
        <v>-164.96820045481263</v>
      </c>
      <c r="G53" s="13"/>
    </row>
    <row r="54" spans="1:7">
      <c r="A54" s="32" t="s">
        <v>34</v>
      </c>
      <c r="B54">
        <f>SUM(B36:B53)</f>
        <v>415116</v>
      </c>
      <c r="C54" s="33">
        <f>SUM(C36:C53)</f>
        <v>1</v>
      </c>
      <c r="D54" s="206">
        <f>SUM(D36:D53)</f>
        <v>318810.5</v>
      </c>
      <c r="E54" s="209">
        <v>225000</v>
      </c>
      <c r="F54" s="211">
        <f t="shared" si="2"/>
        <v>93810.5</v>
      </c>
    </row>
    <row r="56" spans="1:7">
      <c r="D56" s="13"/>
      <c r="E56" s="13"/>
    </row>
    <row r="57" spans="1:7">
      <c r="E57" s="13"/>
      <c r="F57" s="20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23" zoomScale="110" zoomScaleNormal="110" workbookViewId="0">
      <selection activeCell="A57" sqref="A57"/>
    </sheetView>
  </sheetViews>
  <sheetFormatPr defaultRowHeight="12.75"/>
  <cols>
    <col min="1" max="1" width="44.7109375" customWidth="1"/>
    <col min="2" max="2" width="15.140625" customWidth="1"/>
    <col min="3" max="3" width="12.5703125" customWidth="1"/>
    <col min="4" max="4" width="16.7109375" customWidth="1"/>
    <col min="5" max="5" width="13.140625" customWidth="1"/>
    <col min="6" max="7" width="14.85546875" customWidth="1"/>
    <col min="8" max="8" width="10.28515625" customWidth="1"/>
    <col min="9" max="9" width="14.28515625" customWidth="1"/>
  </cols>
  <sheetData>
    <row r="1" spans="1:4" ht="18">
      <c r="A1" s="9" t="s">
        <v>0</v>
      </c>
    </row>
    <row r="2" spans="1:4">
      <c r="A2" s="4"/>
      <c r="D2" s="5"/>
    </row>
    <row r="3" spans="1:4" ht="25.5">
      <c r="A3" s="4" t="s">
        <v>2</v>
      </c>
      <c r="B3" s="7" t="s">
        <v>3</v>
      </c>
      <c r="C3" s="7"/>
      <c r="D3" s="7"/>
    </row>
    <row r="4" spans="1:4">
      <c r="A4" s="4" t="s">
        <v>4</v>
      </c>
      <c r="B4" s="7"/>
      <c r="C4" s="7"/>
      <c r="D4" s="7"/>
    </row>
    <row r="5" spans="1:4">
      <c r="A5" t="s">
        <v>10</v>
      </c>
      <c r="B5" s="12">
        <v>0</v>
      </c>
      <c r="C5" s="12"/>
      <c r="D5" s="11" t="s">
        <v>61</v>
      </c>
    </row>
    <row r="6" spans="1:4">
      <c r="A6" t="s">
        <v>11</v>
      </c>
      <c r="B6" s="12">
        <v>8000</v>
      </c>
      <c r="C6" s="12"/>
      <c r="D6" s="11" t="s">
        <v>12</v>
      </c>
    </row>
    <row r="7" spans="1:4">
      <c r="A7" s="10" t="s">
        <v>13</v>
      </c>
      <c r="B7" s="34">
        <v>2000</v>
      </c>
      <c r="C7" s="11"/>
      <c r="D7" s="11" t="s">
        <v>14</v>
      </c>
    </row>
    <row r="8" spans="1:4">
      <c r="A8" s="30" t="s">
        <v>15</v>
      </c>
      <c r="B8" s="11">
        <v>5000</v>
      </c>
      <c r="C8" s="11"/>
      <c r="D8" s="11" t="s">
        <v>16</v>
      </c>
    </row>
    <row r="9" spans="1:4">
      <c r="A9" s="27" t="s">
        <v>17</v>
      </c>
      <c r="B9" s="28">
        <v>24000</v>
      </c>
      <c r="C9" s="19"/>
      <c r="D9" s="19"/>
    </row>
    <row r="10" spans="1:4">
      <c r="A10" s="17" t="s">
        <v>18</v>
      </c>
      <c r="B10" s="16">
        <f>SUM(B5:B9)</f>
        <v>39000</v>
      </c>
      <c r="C10" s="11"/>
      <c r="D10" s="11"/>
    </row>
    <row r="11" spans="1:4">
      <c r="A11" s="17"/>
      <c r="B11" s="19"/>
      <c r="C11" s="11"/>
      <c r="D11" s="11"/>
    </row>
    <row r="12" spans="1:4">
      <c r="A12" s="4" t="s">
        <v>19</v>
      </c>
      <c r="C12" s="15"/>
      <c r="D12" s="15"/>
    </row>
    <row r="13" spans="1:4">
      <c r="A13" s="27" t="s">
        <v>20</v>
      </c>
      <c r="B13" s="29">
        <v>1500</v>
      </c>
      <c r="C13" s="19"/>
      <c r="D13" s="19"/>
    </row>
    <row r="14" spans="1:4">
      <c r="A14" s="17" t="s">
        <v>21</v>
      </c>
      <c r="B14" s="19">
        <f>SUM(B13:B13)</f>
        <v>1500</v>
      </c>
      <c r="C14" s="19"/>
      <c r="D14" s="19"/>
    </row>
    <row r="15" spans="1:4">
      <c r="A15" s="17"/>
      <c r="B15" s="16"/>
      <c r="C15" s="25"/>
      <c r="D15" s="25"/>
    </row>
    <row r="16" spans="1:4">
      <c r="A16" s="4" t="s">
        <v>22</v>
      </c>
      <c r="B16" s="15"/>
      <c r="C16" s="25"/>
      <c r="D16" s="25"/>
    </row>
    <row r="17" spans="1:4">
      <c r="A17" s="18" t="s">
        <v>62</v>
      </c>
      <c r="B17" s="15">
        <v>112000</v>
      </c>
      <c r="C17" s="25"/>
      <c r="D17" s="25" t="s">
        <v>63</v>
      </c>
    </row>
    <row r="18" spans="1:4">
      <c r="A18" s="31" t="s">
        <v>25</v>
      </c>
      <c r="B18" s="35">
        <v>63000</v>
      </c>
      <c r="C18" s="25"/>
      <c r="D18" s="25"/>
    </row>
    <row r="19" spans="1:4">
      <c r="A19" s="17" t="s">
        <v>26</v>
      </c>
      <c r="B19" s="19">
        <f>SUM(B17:B18)</f>
        <v>175000</v>
      </c>
      <c r="C19" s="25"/>
      <c r="D19" s="25"/>
    </row>
    <row r="20" spans="1:4">
      <c r="A20" s="23"/>
      <c r="B20" s="20"/>
      <c r="C20" s="20"/>
      <c r="D20" s="43"/>
    </row>
    <row r="21" spans="1:4">
      <c r="A21" s="21" t="s">
        <v>27</v>
      </c>
      <c r="C21" s="24"/>
      <c r="D21" s="24"/>
    </row>
    <row r="22" spans="1:4">
      <c r="A22" t="s">
        <v>28</v>
      </c>
      <c r="B22" s="11"/>
      <c r="C22" s="11"/>
      <c r="D22" s="11" t="s">
        <v>64</v>
      </c>
    </row>
    <row r="23" spans="1:4">
      <c r="A23" t="s">
        <v>30</v>
      </c>
      <c r="B23" s="25">
        <v>3500</v>
      </c>
      <c r="C23" s="11"/>
      <c r="D23" s="11"/>
    </row>
    <row r="24" spans="1:4">
      <c r="A24" s="26" t="s">
        <v>31</v>
      </c>
      <c r="B24" s="11">
        <v>2000</v>
      </c>
      <c r="C24" s="26"/>
      <c r="D24" s="11" t="s">
        <v>32</v>
      </c>
    </row>
    <row r="25" spans="1:4">
      <c r="A25" s="17" t="s">
        <v>33</v>
      </c>
      <c r="B25" s="22">
        <f>SUM(B22:B24)</f>
        <v>5500</v>
      </c>
    </row>
    <row r="26" spans="1:4">
      <c r="C26" s="16"/>
      <c r="D26" s="16"/>
    </row>
    <row r="27" spans="1:4">
      <c r="A27" s="6" t="s">
        <v>34</v>
      </c>
      <c r="B27" s="16">
        <f>B10+B14+B19+B25</f>
        <v>221000</v>
      </c>
    </row>
    <row r="32" spans="1:4" ht="18">
      <c r="A32" s="9" t="s">
        <v>35</v>
      </c>
      <c r="B32" s="1"/>
      <c r="D32" s="5"/>
    </row>
    <row r="33" spans="1:6" ht="51">
      <c r="A33" s="2" t="s">
        <v>36</v>
      </c>
      <c r="B33" s="3" t="s">
        <v>37</v>
      </c>
      <c r="C33" s="3" t="s">
        <v>38</v>
      </c>
      <c r="D33" s="8" t="s">
        <v>65</v>
      </c>
      <c r="E33" s="41" t="s">
        <v>66</v>
      </c>
      <c r="F33" s="42" t="s">
        <v>67</v>
      </c>
    </row>
    <row r="34" spans="1:6">
      <c r="A34" s="37" t="s">
        <v>42</v>
      </c>
      <c r="B34" s="203">
        <v>33937</v>
      </c>
      <c r="C34" s="184">
        <f>B34/$B$52</f>
        <v>8.175305215891461E-2</v>
      </c>
      <c r="D34" s="13">
        <f>C34*$B$27</f>
        <v>18067.424527120129</v>
      </c>
      <c r="E34" s="36">
        <f>'Työryhmien kuluerottelu'!J8</f>
        <v>-26.513019252450249</v>
      </c>
      <c r="F34" s="40">
        <f>SUM(D34:E34)</f>
        <v>18040.911507867677</v>
      </c>
    </row>
    <row r="35" spans="1:6">
      <c r="A35" s="38" t="s">
        <v>44</v>
      </c>
      <c r="B35" s="183">
        <v>949</v>
      </c>
      <c r="C35" s="184">
        <f t="shared" ref="C35:C51" si="0">B35/$B$52</f>
        <v>2.2861079794563449E-3</v>
      </c>
      <c r="D35" s="13">
        <f>C35*$B$27</f>
        <v>505.22986345985225</v>
      </c>
      <c r="E35" s="36">
        <f>'Työryhmien kuluerottelu'!J9</f>
        <v>283.01902480270581</v>
      </c>
      <c r="F35" s="40">
        <f t="shared" ref="F35:F51" si="1">SUM(D35:E35)</f>
        <v>788.24888826255801</v>
      </c>
    </row>
    <row r="36" spans="1:6">
      <c r="A36" s="37" t="s">
        <v>45</v>
      </c>
      <c r="B36" s="183">
        <v>8588</v>
      </c>
      <c r="C36" s="184">
        <f t="shared" si="0"/>
        <v>2.0688193179737711E-2</v>
      </c>
      <c r="D36" s="13">
        <f>C36*$B$27</f>
        <v>4572.090692722034</v>
      </c>
      <c r="E36" s="36">
        <f>'Työryhmien kuluerottelu'!J10</f>
        <v>2561.1879715549389</v>
      </c>
      <c r="F36" s="40">
        <f t="shared" si="1"/>
        <v>7133.2786642769734</v>
      </c>
    </row>
    <row r="37" spans="1:6">
      <c r="A37" s="38" t="s">
        <v>46</v>
      </c>
      <c r="B37" s="183">
        <v>19994</v>
      </c>
      <c r="C37" s="184">
        <f t="shared" si="0"/>
        <v>4.8164850306902166E-2</v>
      </c>
      <c r="D37" s="13">
        <f>C37*$B$27</f>
        <v>10644.431917825379</v>
      </c>
      <c r="E37" s="36">
        <f>'Työryhmien kuluerottelu'!J11</f>
        <v>5962.7843855693354</v>
      </c>
      <c r="F37" s="40">
        <f t="shared" si="1"/>
        <v>16607.216303394714</v>
      </c>
    </row>
    <row r="38" spans="1:6">
      <c r="A38" s="37" t="s">
        <v>47</v>
      </c>
      <c r="B38" s="183">
        <v>9534</v>
      </c>
      <c r="C38" s="184">
        <f t="shared" si="0"/>
        <v>2.2967074263579336E-2</v>
      </c>
      <c r="D38" s="13">
        <f>C38*$B$27</f>
        <v>5075.7234122510336</v>
      </c>
      <c r="E38" s="36">
        <f>'Työryhmien kuluerottelu'!J12</f>
        <v>2843.3123102939903</v>
      </c>
      <c r="F38" s="40">
        <f t="shared" si="1"/>
        <v>7919.0357225450243</v>
      </c>
    </row>
    <row r="39" spans="1:6">
      <c r="A39" s="37" t="s">
        <v>48</v>
      </c>
      <c r="B39" s="183">
        <v>7654</v>
      </c>
      <c r="C39" s="184">
        <f t="shared" si="0"/>
        <v>1.8438219678354965E-2</v>
      </c>
      <c r="D39" s="13">
        <f t="shared" ref="D39:D51" si="2">C39*$B$27</f>
        <v>4074.8465489164473</v>
      </c>
      <c r="E39" s="36">
        <f>'Työryhmien kuluerottelu'!J13</f>
        <v>2282.6423770705055</v>
      </c>
      <c r="F39" s="40">
        <f t="shared" si="1"/>
        <v>6357.4889259869524</v>
      </c>
    </row>
    <row r="40" spans="1:6">
      <c r="A40" s="37" t="s">
        <v>49</v>
      </c>
      <c r="B40" s="183">
        <v>19314</v>
      </c>
      <c r="C40" s="184">
        <f t="shared" si="0"/>
        <v>4.6526753967565691E-2</v>
      </c>
      <c r="D40" s="13">
        <f t="shared" si="2"/>
        <v>10282.412626832018</v>
      </c>
      <c r="E40" s="36">
        <f>'Työryhmien kuluerottelu'!J14</f>
        <v>-2358.0111221923507</v>
      </c>
      <c r="F40" s="40">
        <f t="shared" si="1"/>
        <v>7924.4015046396671</v>
      </c>
    </row>
    <row r="41" spans="1:6">
      <c r="A41" s="37" t="s">
        <v>50</v>
      </c>
      <c r="B41" s="183">
        <v>4715</v>
      </c>
      <c r="C41" s="184">
        <f t="shared" si="0"/>
        <v>1.1358270941134526E-2</v>
      </c>
      <c r="D41" s="13">
        <f t="shared" si="2"/>
        <v>2510.1778779907304</v>
      </c>
      <c r="E41" s="36">
        <f>'Työryhmien kuluerottelu'!J15</f>
        <v>1406.1482633769838</v>
      </c>
      <c r="F41" s="40">
        <f t="shared" si="1"/>
        <v>3916.3261413677142</v>
      </c>
    </row>
    <row r="42" spans="1:6">
      <c r="A42" s="37" t="s">
        <v>51</v>
      </c>
      <c r="B42" s="183">
        <v>10850</v>
      </c>
      <c r="C42" s="184">
        <f t="shared" si="0"/>
        <v>2.6137272473236398E-2</v>
      </c>
      <c r="D42" s="13">
        <f t="shared" si="2"/>
        <v>5776.3372165852443</v>
      </c>
      <c r="E42" s="36">
        <f>'Työryhmien kuluerottelu'!J16</f>
        <v>1206.2812635504297</v>
      </c>
      <c r="F42" s="40">
        <f t="shared" si="1"/>
        <v>6982.618480135674</v>
      </c>
    </row>
    <row r="43" spans="1:6">
      <c r="A43" s="37" t="s">
        <v>52</v>
      </c>
      <c r="B43" s="183">
        <v>2004</v>
      </c>
      <c r="C43" s="184">
        <f t="shared" si="0"/>
        <v>4.8275662706327872E-3</v>
      </c>
      <c r="D43" s="13">
        <f t="shared" si="2"/>
        <v>1066.8921458098459</v>
      </c>
      <c r="E43" s="36">
        <f>'Työryhmien kuluerottelu'!J17</f>
        <v>597.65029052120383</v>
      </c>
      <c r="F43" s="40">
        <f t="shared" si="1"/>
        <v>1664.5424363310499</v>
      </c>
    </row>
    <row r="44" spans="1:6">
      <c r="A44" s="37" t="s">
        <v>53</v>
      </c>
      <c r="B44" s="183">
        <v>24056</v>
      </c>
      <c r="C44" s="184">
        <f t="shared" si="0"/>
        <v>5.7950066969232696E-2</v>
      </c>
      <c r="D44" s="13">
        <f t="shared" si="2"/>
        <v>12806.964800200425</v>
      </c>
      <c r="E44" s="36">
        <f>'Työryhmien kuluerottelu'!J18</f>
        <v>1085.6893157575232</v>
      </c>
      <c r="F44" s="40">
        <f t="shared" si="1"/>
        <v>13892.654115957948</v>
      </c>
    </row>
    <row r="45" spans="1:6">
      <c r="A45" s="37" t="s">
        <v>54</v>
      </c>
      <c r="B45" s="183">
        <v>6327</v>
      </c>
      <c r="C45" s="184">
        <f t="shared" si="0"/>
        <v>1.5241522851443933E-2</v>
      </c>
      <c r="D45" s="13">
        <f t="shared" si="2"/>
        <v>3368.3765501691091</v>
      </c>
      <c r="E45" s="36">
        <f>'Työryhmien kuluerottelu'!J19</f>
        <v>1886.8929082473335</v>
      </c>
      <c r="F45" s="40">
        <f t="shared" si="1"/>
        <v>5255.2694584164428</v>
      </c>
    </row>
    <row r="46" spans="1:6">
      <c r="A46" s="37" t="s">
        <v>55</v>
      </c>
      <c r="B46" s="183">
        <v>51833</v>
      </c>
      <c r="C46" s="184">
        <f t="shared" si="0"/>
        <v>0.12486389346592278</v>
      </c>
      <c r="D46" s="13">
        <f t="shared" si="2"/>
        <v>27594.920455968935</v>
      </c>
      <c r="E46" s="36">
        <f>'Työryhmien kuluerottelu'!J20</f>
        <v>7340.0875791345079</v>
      </c>
      <c r="F46" s="40">
        <f t="shared" si="1"/>
        <v>34935.008035103441</v>
      </c>
    </row>
    <row r="47" spans="1:6">
      <c r="A47" s="37" t="s">
        <v>56</v>
      </c>
      <c r="B47" s="183">
        <v>2945</v>
      </c>
      <c r="C47" s="184">
        <f t="shared" si="0"/>
        <v>7.094402528449879E-3</v>
      </c>
      <c r="D47" s="13">
        <f t="shared" si="2"/>
        <v>1567.8629587874232</v>
      </c>
      <c r="E47" s="36">
        <f>'Työryhmien kuluerottelu'!J21</f>
        <v>878.28348582083083</v>
      </c>
      <c r="F47" s="40">
        <f t="shared" si="1"/>
        <v>2446.1464446082541</v>
      </c>
    </row>
    <row r="48" spans="1:6">
      <c r="A48" s="37" t="s">
        <v>57</v>
      </c>
      <c r="B48" s="183">
        <v>1639</v>
      </c>
      <c r="C48" s="184">
        <f t="shared" si="0"/>
        <v>3.9482939708418855E-3</v>
      </c>
      <c r="D48" s="13">
        <f t="shared" si="2"/>
        <v>872.57296755605671</v>
      </c>
      <c r="E48" s="36">
        <f>'Työryhmien kuluerottelu'!J22</f>
        <v>-1540.7031805567599</v>
      </c>
      <c r="F48" s="40">
        <f t="shared" si="1"/>
        <v>-668.13021300070318</v>
      </c>
    </row>
    <row r="49" spans="1:6">
      <c r="A49" s="37" t="s">
        <v>58</v>
      </c>
      <c r="B49" s="183">
        <v>192962</v>
      </c>
      <c r="C49" s="184">
        <f t="shared" si="0"/>
        <v>0.46483874386918356</v>
      </c>
      <c r="D49" s="13">
        <f t="shared" si="2"/>
        <v>102729.36239508957</v>
      </c>
      <c r="E49" s="36">
        <f>'Työryhmien kuluerottelu'!J23</f>
        <v>-27692.195928367008</v>
      </c>
      <c r="F49" s="40">
        <f t="shared" si="1"/>
        <v>75037.166466722556</v>
      </c>
    </row>
    <row r="50" spans="1:6">
      <c r="A50" s="38" t="s">
        <v>59</v>
      </c>
      <c r="B50" s="183">
        <v>15522</v>
      </c>
      <c r="C50" s="184">
        <f t="shared" si="0"/>
        <v>3.7391957910559936E-2</v>
      </c>
      <c r="D50" s="13">
        <f t="shared" si="2"/>
        <v>8263.6226982337466</v>
      </c>
      <c r="E50" s="36">
        <f>'Työryhmien kuluerottelu'!J24</f>
        <v>2599.6056933483651</v>
      </c>
      <c r="F50" s="40">
        <f t="shared" si="1"/>
        <v>10863.228391582112</v>
      </c>
    </row>
    <row r="51" spans="1:6">
      <c r="A51" s="39" t="s">
        <v>60</v>
      </c>
      <c r="B51" s="186">
        <v>2293</v>
      </c>
      <c r="C51" s="185">
        <f t="shared" si="0"/>
        <v>5.5237572148507889E-3</v>
      </c>
      <c r="D51" s="14">
        <f t="shared" si="2"/>
        <v>1220.7503444820243</v>
      </c>
      <c r="E51" s="187">
        <f>'Työryhmien kuluerottelu'!J25</f>
        <v>683.83838131992036</v>
      </c>
      <c r="F51" s="188">
        <f t="shared" si="1"/>
        <v>1904.5887258019447</v>
      </c>
    </row>
    <row r="52" spans="1:6">
      <c r="A52" s="32" t="s">
        <v>34</v>
      </c>
      <c r="B52">
        <f>SUM(B34:B51)</f>
        <v>415116</v>
      </c>
      <c r="C52" s="33">
        <f>SUM(C34:C51)</f>
        <v>1</v>
      </c>
      <c r="D52" s="13">
        <f>SUM(D34:D51)</f>
        <v>221000</v>
      </c>
      <c r="E52" s="13">
        <f>SUM(E34:E51)</f>
        <v>4.2064129956997931E-12</v>
      </c>
      <c r="F52" s="40">
        <f>SUM(F34:F51)</f>
        <v>221000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2"/>
  <sheetViews>
    <sheetView workbookViewId="0">
      <selection activeCell="B6" sqref="B6"/>
    </sheetView>
  </sheetViews>
  <sheetFormatPr defaultColWidth="9" defaultRowHeight="14.25"/>
  <cols>
    <col min="1" max="1" width="2.5703125" style="121" customWidth="1"/>
    <col min="2" max="10" width="15.5703125" style="95" customWidth="1"/>
    <col min="11" max="11" width="2.5703125" style="95" customWidth="1"/>
    <col min="12" max="12" width="20.5703125" style="95" customWidth="1"/>
    <col min="13" max="13" width="11.140625" style="95" bestFit="1" customWidth="1"/>
    <col min="14" max="16384" width="9" style="95"/>
  </cols>
  <sheetData>
    <row r="1" spans="2:14" s="122" customFormat="1" ht="30.75">
      <c r="B1" s="123"/>
      <c r="I1" s="52"/>
      <c r="J1" s="53"/>
    </row>
    <row r="2" spans="2:14" s="122" customFormat="1" ht="30.75">
      <c r="B2" s="124" t="s">
        <v>68</v>
      </c>
      <c r="C2" s="125"/>
      <c r="D2" s="126"/>
      <c r="E2" s="127"/>
      <c r="F2" s="125"/>
      <c r="I2" s="52" t="s">
        <v>69</v>
      </c>
      <c r="J2" s="53">
        <f ca="1">TODAY()</f>
        <v>43978</v>
      </c>
    </row>
    <row r="3" spans="2:14" s="122" customFormat="1" ht="16.5">
      <c r="B3" s="128"/>
      <c r="C3" s="129"/>
      <c r="D3" s="130"/>
      <c r="E3" s="131"/>
      <c r="F3" s="129"/>
      <c r="G3" s="132"/>
      <c r="H3" s="132"/>
      <c r="I3" s="132"/>
      <c r="J3" s="132"/>
    </row>
    <row r="4" spans="2:14" s="122" customFormat="1" ht="16.5">
      <c r="B4" s="128" t="s">
        <v>70</v>
      </c>
      <c r="C4" s="129"/>
      <c r="D4" s="182">
        <f>'Työryhmät 2021'!F49</f>
        <v>3.0500000000000003</v>
      </c>
      <c r="E4" s="131"/>
      <c r="F4" s="129"/>
      <c r="G4" s="132"/>
      <c r="H4" s="132"/>
      <c r="I4" s="132"/>
      <c r="J4" s="132"/>
    </row>
    <row r="5" spans="2:14" s="122" customFormat="1" ht="16.5">
      <c r="B5" s="128" t="s">
        <v>71</v>
      </c>
      <c r="C5" s="129"/>
      <c r="D5" s="133">
        <f>F33</f>
        <v>40590</v>
      </c>
      <c r="E5" s="131"/>
      <c r="F5" s="129"/>
      <c r="G5" s="132"/>
      <c r="H5" s="132"/>
      <c r="I5" s="132"/>
      <c r="J5" s="132"/>
    </row>
    <row r="6" spans="2:14" s="121" customFormat="1" ht="16.5">
      <c r="B6" s="134" t="s">
        <v>72</v>
      </c>
      <c r="C6" s="131"/>
      <c r="D6" s="135">
        <f>D4*D5</f>
        <v>123799.50000000001</v>
      </c>
      <c r="E6" s="131"/>
      <c r="F6" s="136"/>
      <c r="G6" s="137"/>
      <c r="H6" s="138"/>
      <c r="I6" s="139"/>
      <c r="J6" s="139"/>
      <c r="K6" s="140"/>
      <c r="L6" s="141"/>
    </row>
    <row r="7" spans="2:14" ht="48">
      <c r="B7" s="142" t="s">
        <v>36</v>
      </c>
      <c r="C7" s="143" t="s">
        <v>73</v>
      </c>
      <c r="D7" s="144" t="s">
        <v>74</v>
      </c>
      <c r="E7" s="143" t="s">
        <v>75</v>
      </c>
      <c r="F7" s="143" t="s">
        <v>76</v>
      </c>
      <c r="G7" s="143" t="s">
        <v>77</v>
      </c>
      <c r="H7" s="143" t="s">
        <v>78</v>
      </c>
      <c r="I7" s="143" t="s">
        <v>79</v>
      </c>
      <c r="J7" s="143" t="s">
        <v>80</v>
      </c>
      <c r="M7" s="121"/>
      <c r="N7" s="121"/>
    </row>
    <row r="8" spans="2:14">
      <c r="B8" s="74" t="s">
        <v>42</v>
      </c>
      <c r="C8" s="145">
        <v>33937</v>
      </c>
      <c r="D8" s="146">
        <f>(Kuntien_asukasluvut_2017[[#This Row],[Asukasluku 31.12.2019*]]/Kuntien_asukasluvut_2017[[#Totals],[Asukasluku 31.12.2019*]])</f>
        <v>8.175305215891461E-2</v>
      </c>
      <c r="E8" s="147">
        <f>SUM(Kuntien_asukasluvut_2017[[#This Row],[% Vaski-kuntien asukasluvusta]]*$D$4/Kuntien_asukasluvut_2017[[#Totals],[% Vaski-kuntien asukasluvusta]])</f>
        <v>0.24934680908468959</v>
      </c>
      <c r="F8" s="148">
        <f>SUM(Kuntien_asukasluvut_2017[[#This Row],[Laskennallinen panostus työryhmiin (htv)]]*$D$5)</f>
        <v>10120.98698074755</v>
      </c>
      <c r="G8" s="149">
        <f>'Työryhmät 2021'!P5</f>
        <v>0.25</v>
      </c>
      <c r="H8" s="150">
        <f>SUM(Kuntien_asukasluvut_2017[[#This Row],[Todellinen panostus työryhmiin (htv)]]*$D$5)</f>
        <v>10147.5</v>
      </c>
      <c r="I8" s="151">
        <f>SUM(Kuntien_asukasluvut_2017[[#This Row],[Laskennallinen panostus työryhmiin (htv)]]-Kuntien_asukasluvut_2017[[#This Row],[Todellinen panostus työryhmiin (htv)]])</f>
        <v>-6.5319091531040874E-4</v>
      </c>
      <c r="J8" s="152">
        <f>SUM(Kuntien_asukasluvut_2017[[#This Row],[Laskennallinen panostus työryhmiin (€/vuosi)]]-Kuntien_asukasluvut_2017[[#This Row],[Todellinen panostus työryhmiin (€/vuosi)]])</f>
        <v>-26.513019252450249</v>
      </c>
      <c r="M8" s="121"/>
      <c r="N8" s="121"/>
    </row>
    <row r="9" spans="2:14">
      <c r="B9" s="74" t="s">
        <v>44</v>
      </c>
      <c r="C9" s="145">
        <v>949</v>
      </c>
      <c r="D9" s="146">
        <f>(Kuntien_asukasluvut_2017[[#This Row],[Asukasluku 31.12.2019*]]/Kuntien_asukasluvut_2017[[#Totals],[Asukasluku 31.12.2019*]])</f>
        <v>2.2861079794563449E-3</v>
      </c>
      <c r="E9" s="147">
        <f>SUM(Kuntien_asukasluvut_2017[[#This Row],[% Vaski-kuntien asukasluvusta]]*$D$4/Kuntien_asukasluvut_2017[[#Totals],[% Vaski-kuntien asukasluvusta]])</f>
        <v>6.9726293373418525E-3</v>
      </c>
      <c r="F9" s="148">
        <f>SUM(Kuntien_asukasluvut_2017[[#This Row],[Laskennallinen panostus työryhmiin (htv)]]*$D$5)</f>
        <v>283.01902480270581</v>
      </c>
      <c r="G9" s="149">
        <f>'Työryhmät 2021'!P6</f>
        <v>0</v>
      </c>
      <c r="H9" s="150">
        <f>SUM(Kuntien_asukasluvut_2017[[#This Row],[Todellinen panostus työryhmiin (htv)]]*$D$5)</f>
        <v>0</v>
      </c>
      <c r="I9" s="151">
        <f>SUM(Kuntien_asukasluvut_2017[[#This Row],[Laskennallinen panostus työryhmiin (htv)]]-Kuntien_asukasluvut_2017[[#This Row],[Todellinen panostus työryhmiin (htv)]])</f>
        <v>6.9726293373418525E-3</v>
      </c>
      <c r="J9" s="152">
        <f>SUM(Kuntien_asukasluvut_2017[[#This Row],[Laskennallinen panostus työryhmiin (€/vuosi)]]-Kuntien_asukasluvut_2017[[#This Row],[Todellinen panostus työryhmiin (€/vuosi)]])</f>
        <v>283.01902480270581</v>
      </c>
      <c r="M9" s="121"/>
      <c r="N9" s="121"/>
    </row>
    <row r="10" spans="2:14">
      <c r="B10" s="74" t="s">
        <v>45</v>
      </c>
      <c r="C10" s="145">
        <v>8588</v>
      </c>
      <c r="D10" s="146">
        <f>(Kuntien_asukasluvut_2017[[#This Row],[Asukasluku 31.12.2019*]]/Kuntien_asukasluvut_2017[[#Totals],[Asukasluku 31.12.2019*]])</f>
        <v>2.0688193179737711E-2</v>
      </c>
      <c r="E10" s="147">
        <f>SUM(Kuntien_asukasluvut_2017[[#This Row],[% Vaski-kuntien asukasluvusta]]*$D$4/Kuntien_asukasluvut_2017[[#Totals],[% Vaski-kuntien asukasluvusta]])</f>
        <v>6.309898919820002E-2</v>
      </c>
      <c r="F10" s="148">
        <f>SUM(Kuntien_asukasluvut_2017[[#This Row],[Laskennallinen panostus työryhmiin (htv)]]*$D$5)</f>
        <v>2561.1879715549389</v>
      </c>
      <c r="G10" s="149">
        <f>'Työryhmät 2021'!P7</f>
        <v>0</v>
      </c>
      <c r="H10" s="150">
        <f>SUM(Kuntien_asukasluvut_2017[[#This Row],[Todellinen panostus työryhmiin (htv)]]*$D$5)</f>
        <v>0</v>
      </c>
      <c r="I10" s="151">
        <f>SUM(Kuntien_asukasluvut_2017[[#This Row],[Laskennallinen panostus työryhmiin (htv)]]-Kuntien_asukasluvut_2017[[#This Row],[Todellinen panostus työryhmiin (htv)]])</f>
        <v>6.309898919820002E-2</v>
      </c>
      <c r="J10" s="152">
        <f>SUM(Kuntien_asukasluvut_2017[[#This Row],[Laskennallinen panostus työryhmiin (€/vuosi)]]-Kuntien_asukasluvut_2017[[#This Row],[Todellinen panostus työryhmiin (€/vuosi)]])</f>
        <v>2561.1879715549389</v>
      </c>
      <c r="M10" s="121"/>
      <c r="N10" s="121"/>
    </row>
    <row r="11" spans="2:14">
      <c r="B11" s="74" t="s">
        <v>46</v>
      </c>
      <c r="C11" s="145">
        <v>19994</v>
      </c>
      <c r="D11" s="146">
        <f>(Kuntien_asukasluvut_2017[[#This Row],[Asukasluku 31.12.2019*]]/Kuntien_asukasluvut_2017[[#Totals],[Asukasluku 31.12.2019*]])</f>
        <v>4.8164850306902166E-2</v>
      </c>
      <c r="E11" s="147">
        <f>SUM(Kuntien_asukasluvut_2017[[#This Row],[% Vaski-kuntien asukasluvusta]]*$D$4/Kuntien_asukasluvut_2017[[#Totals],[% Vaski-kuntien asukasluvusta]])</f>
        <v>0.14690279343605162</v>
      </c>
      <c r="F11" s="148">
        <f>SUM(Kuntien_asukasluvut_2017[[#This Row],[Laskennallinen panostus työryhmiin (htv)]]*$D$5)</f>
        <v>5962.7843855693354</v>
      </c>
      <c r="G11" s="149">
        <f>'Työryhmät 2021'!P8</f>
        <v>0</v>
      </c>
      <c r="H11" s="150">
        <f>SUM(Kuntien_asukasluvut_2017[[#This Row],[Todellinen panostus työryhmiin (htv)]]*$D$5)</f>
        <v>0</v>
      </c>
      <c r="I11" s="151">
        <f>SUM(Kuntien_asukasluvut_2017[[#This Row],[Laskennallinen panostus työryhmiin (htv)]]-Kuntien_asukasluvut_2017[[#This Row],[Todellinen panostus työryhmiin (htv)]])</f>
        <v>0.14690279343605162</v>
      </c>
      <c r="J11" s="152">
        <f>SUM(Kuntien_asukasluvut_2017[[#This Row],[Laskennallinen panostus työryhmiin (€/vuosi)]]-Kuntien_asukasluvut_2017[[#This Row],[Todellinen panostus työryhmiin (€/vuosi)]])</f>
        <v>5962.7843855693354</v>
      </c>
      <c r="L11" s="153"/>
      <c r="M11" s="121"/>
      <c r="N11" s="121"/>
    </row>
    <row r="12" spans="2:14">
      <c r="B12" s="74" t="s">
        <v>47</v>
      </c>
      <c r="C12" s="145">
        <v>9534</v>
      </c>
      <c r="D12" s="146">
        <f>(Kuntien_asukasluvut_2017[[#This Row],[Asukasluku 31.12.2019*]]/Kuntien_asukasluvut_2017[[#Totals],[Asukasluku 31.12.2019*]])</f>
        <v>2.2967074263579336E-2</v>
      </c>
      <c r="E12" s="147">
        <f>SUM(Kuntien_asukasluvut_2017[[#This Row],[% Vaski-kuntien asukasluvusta]]*$D$4/Kuntien_asukasluvut_2017[[#Totals],[% Vaski-kuntien asukasluvusta]])</f>
        <v>7.004957650391698E-2</v>
      </c>
      <c r="F12" s="148">
        <f>SUM(Kuntien_asukasluvut_2017[[#This Row],[Laskennallinen panostus työryhmiin (htv)]]*$D$5)</f>
        <v>2843.3123102939903</v>
      </c>
      <c r="G12" s="149">
        <f>'Työryhmät 2021'!P9</f>
        <v>0</v>
      </c>
      <c r="H12" s="150">
        <f>SUM(Kuntien_asukasluvut_2017[[#This Row],[Todellinen panostus työryhmiin (htv)]]*$D$5)</f>
        <v>0</v>
      </c>
      <c r="I12" s="151">
        <f>SUM(Kuntien_asukasluvut_2017[[#This Row],[Laskennallinen panostus työryhmiin (htv)]]-Kuntien_asukasluvut_2017[[#This Row],[Todellinen panostus työryhmiin (htv)]])</f>
        <v>7.004957650391698E-2</v>
      </c>
      <c r="J12" s="152">
        <f>SUM(Kuntien_asukasluvut_2017[[#This Row],[Laskennallinen panostus työryhmiin (€/vuosi)]]-Kuntien_asukasluvut_2017[[#This Row],[Todellinen panostus työryhmiin (€/vuosi)]])</f>
        <v>2843.3123102939903</v>
      </c>
      <c r="L12" s="153"/>
      <c r="M12" s="121"/>
      <c r="N12" s="121"/>
    </row>
    <row r="13" spans="2:14">
      <c r="B13" s="74" t="s">
        <v>48</v>
      </c>
      <c r="C13" s="145">
        <v>7654</v>
      </c>
      <c r="D13" s="146">
        <f>(Kuntien_asukasluvut_2017[[#This Row],[Asukasluku 31.12.2019*]]/Kuntien_asukasluvut_2017[[#Totals],[Asukasluku 31.12.2019*]])</f>
        <v>1.8438219678354965E-2</v>
      </c>
      <c r="E13" s="147">
        <f>SUM(Kuntien_asukasluvut_2017[[#This Row],[% Vaski-kuntien asukasluvusta]]*$D$4/Kuntien_asukasluvut_2017[[#Totals],[% Vaski-kuntien asukasluvusta]])</f>
        <v>5.6236570018982648E-2</v>
      </c>
      <c r="F13" s="148">
        <f>SUM(Kuntien_asukasluvut_2017[[#This Row],[Laskennallinen panostus työryhmiin (htv)]]*$D$5)</f>
        <v>2282.6423770705055</v>
      </c>
      <c r="G13" s="149">
        <f>'Työryhmät 2021'!P10</f>
        <v>0</v>
      </c>
      <c r="H13" s="150">
        <f>SUM(Kuntien_asukasluvut_2017[[#This Row],[Todellinen panostus työryhmiin (htv)]]*$D$5)</f>
        <v>0</v>
      </c>
      <c r="I13" s="151">
        <f>SUM(Kuntien_asukasluvut_2017[[#This Row],[Laskennallinen panostus työryhmiin (htv)]]-Kuntien_asukasluvut_2017[[#This Row],[Todellinen panostus työryhmiin (htv)]])</f>
        <v>5.6236570018982648E-2</v>
      </c>
      <c r="J13" s="152">
        <f>SUM(Kuntien_asukasluvut_2017[[#This Row],[Laskennallinen panostus työryhmiin (€/vuosi)]]-Kuntien_asukasluvut_2017[[#This Row],[Todellinen panostus työryhmiin (€/vuosi)]])</f>
        <v>2282.6423770705055</v>
      </c>
      <c r="L13" s="154"/>
      <c r="M13" s="121"/>
      <c r="N13" s="121"/>
    </row>
    <row r="14" spans="2:14">
      <c r="B14" s="74" t="s">
        <v>49</v>
      </c>
      <c r="C14" s="145">
        <v>19314</v>
      </c>
      <c r="D14" s="146">
        <f>(Kuntien_asukasluvut_2017[[#This Row],[Asukasluku 31.12.2019*]]/Kuntien_asukasluvut_2017[[#Totals],[Asukasluku 31.12.2019*]])</f>
        <v>4.6526753967565691E-2</v>
      </c>
      <c r="E14" s="147">
        <f>SUM(Kuntien_asukasluvut_2017[[#This Row],[% Vaski-kuntien asukasluvusta]]*$D$4/Kuntien_asukasluvut_2017[[#Totals],[% Vaski-kuntien asukasluvusta]])</f>
        <v>0.14190659960107538</v>
      </c>
      <c r="F14" s="148">
        <f>SUM(Kuntien_asukasluvut_2017[[#This Row],[Laskennallinen panostus työryhmiin (htv)]]*$D$5)</f>
        <v>5759.9888778076493</v>
      </c>
      <c r="G14" s="149">
        <f>'Työryhmät 2021'!P11</f>
        <v>0.2</v>
      </c>
      <c r="H14" s="150">
        <f>SUM(Kuntien_asukasluvut_2017[[#This Row],[Todellinen panostus työryhmiin (htv)]]*$D$5)</f>
        <v>8118</v>
      </c>
      <c r="I14" s="151">
        <f>SUM(Kuntien_asukasluvut_2017[[#This Row],[Laskennallinen panostus työryhmiin (htv)]]-Kuntien_asukasluvut_2017[[#This Row],[Todellinen panostus työryhmiin (htv)]])</f>
        <v>-5.8093400398924633E-2</v>
      </c>
      <c r="J14" s="152">
        <f>SUM(Kuntien_asukasluvut_2017[[#This Row],[Laskennallinen panostus työryhmiin (€/vuosi)]]-Kuntien_asukasluvut_2017[[#This Row],[Todellinen panostus työryhmiin (€/vuosi)]])</f>
        <v>-2358.0111221923507</v>
      </c>
      <c r="L14" s="155"/>
      <c r="M14" s="121"/>
      <c r="N14" s="121"/>
    </row>
    <row r="15" spans="2:14">
      <c r="B15" s="74" t="s">
        <v>50</v>
      </c>
      <c r="C15" s="145">
        <v>4715</v>
      </c>
      <c r="D15" s="146">
        <f>(Kuntien_asukasluvut_2017[[#This Row],[Asukasluku 31.12.2019*]]/Kuntien_asukasluvut_2017[[#Totals],[Asukasluku 31.12.2019*]])</f>
        <v>1.1358270941134526E-2</v>
      </c>
      <c r="E15" s="147">
        <f>SUM(Kuntien_asukasluvut_2017[[#This Row],[% Vaski-kuntien asukasluvusta]]*$D$4/Kuntien_asukasluvut_2017[[#Totals],[% Vaski-kuntien asukasluvusta]])</f>
        <v>3.4642726370460307E-2</v>
      </c>
      <c r="F15" s="148">
        <f>SUM(Kuntien_asukasluvut_2017[[#This Row],[Laskennallinen panostus työryhmiin (htv)]]*$D$5)</f>
        <v>1406.1482633769838</v>
      </c>
      <c r="G15" s="149">
        <f>'Työryhmät 2021'!P12</f>
        <v>0</v>
      </c>
      <c r="H15" s="150">
        <f>SUM(Kuntien_asukasluvut_2017[[#This Row],[Todellinen panostus työryhmiin (htv)]]*$D$5)</f>
        <v>0</v>
      </c>
      <c r="I15" s="151">
        <f>SUM(Kuntien_asukasluvut_2017[[#This Row],[Laskennallinen panostus työryhmiin (htv)]]-Kuntien_asukasluvut_2017[[#This Row],[Todellinen panostus työryhmiin (htv)]])</f>
        <v>3.4642726370460307E-2</v>
      </c>
      <c r="J15" s="152">
        <f>SUM(Kuntien_asukasluvut_2017[[#This Row],[Laskennallinen panostus työryhmiin (€/vuosi)]]-Kuntien_asukasluvut_2017[[#This Row],[Todellinen panostus työryhmiin (€/vuosi)]])</f>
        <v>1406.1482633769838</v>
      </c>
      <c r="L15" s="141"/>
      <c r="M15" s="121"/>
      <c r="N15" s="121"/>
    </row>
    <row r="16" spans="2:14">
      <c r="B16" s="74" t="s">
        <v>51</v>
      </c>
      <c r="C16" s="145">
        <v>10850</v>
      </c>
      <c r="D16" s="146">
        <f>(Kuntien_asukasluvut_2017[[#This Row],[Asukasluku 31.12.2019*]]/Kuntien_asukasluvut_2017[[#Totals],[Asukasluku 31.12.2019*]])</f>
        <v>2.6137272473236398E-2</v>
      </c>
      <c r="E16" s="147">
        <f>SUM(Kuntien_asukasluvut_2017[[#This Row],[% Vaski-kuntien asukasluvusta]]*$D$4/Kuntien_asukasluvut_2017[[#Totals],[% Vaski-kuntien asukasluvusta]])</f>
        <v>7.9718681043371015E-2</v>
      </c>
      <c r="F16" s="148">
        <f>SUM(Kuntien_asukasluvut_2017[[#This Row],[Laskennallinen panostus työryhmiin (htv)]]*$D$5)</f>
        <v>3235.7812635504297</v>
      </c>
      <c r="G16" s="149">
        <f>'Työryhmät 2021'!P13</f>
        <v>0.05</v>
      </c>
      <c r="H16" s="150">
        <f>SUM(Kuntien_asukasluvut_2017[[#This Row],[Todellinen panostus työryhmiin (htv)]]*$D$5)</f>
        <v>2029.5</v>
      </c>
      <c r="I16" s="151">
        <f>SUM(Kuntien_asukasluvut_2017[[#This Row],[Laskennallinen panostus työryhmiin (htv)]]-Kuntien_asukasluvut_2017[[#This Row],[Todellinen panostus työryhmiin (htv)]])</f>
        <v>2.9718681043371012E-2</v>
      </c>
      <c r="J16" s="152">
        <f>SUM(Kuntien_asukasluvut_2017[[#This Row],[Laskennallinen panostus työryhmiin (€/vuosi)]]-Kuntien_asukasluvut_2017[[#This Row],[Todellinen panostus työryhmiin (€/vuosi)]])</f>
        <v>1206.2812635504297</v>
      </c>
      <c r="M16" s="121"/>
      <c r="N16" s="121"/>
    </row>
    <row r="17" spans="1:14">
      <c r="B17" s="74" t="s">
        <v>52</v>
      </c>
      <c r="C17" s="145">
        <v>2004</v>
      </c>
      <c r="D17" s="146">
        <f>(Kuntien_asukasluvut_2017[[#This Row],[Asukasluku 31.12.2019*]]/Kuntien_asukasluvut_2017[[#Totals],[Asukasluku 31.12.2019*]])</f>
        <v>4.8275662706327872E-3</v>
      </c>
      <c r="E17" s="147">
        <f>SUM(Kuntien_asukasluvut_2017[[#This Row],[% Vaski-kuntien asukasluvusta]]*$D$4/Kuntien_asukasluvut_2017[[#Totals],[% Vaski-kuntien asukasluvusta]])</f>
        <v>1.4724077125430002E-2</v>
      </c>
      <c r="F17" s="148">
        <f>SUM(Kuntien_asukasluvut_2017[[#This Row],[Laskennallinen panostus työryhmiin (htv)]]*$D$5)</f>
        <v>597.65029052120383</v>
      </c>
      <c r="G17" s="149">
        <f>'Työryhmät 2021'!P14</f>
        <v>0</v>
      </c>
      <c r="H17" s="150">
        <f>SUM(Kuntien_asukasluvut_2017[[#This Row],[Todellinen panostus työryhmiin (htv)]]*$D$5)</f>
        <v>0</v>
      </c>
      <c r="I17" s="151">
        <f>SUM(Kuntien_asukasluvut_2017[[#This Row],[Laskennallinen panostus työryhmiin (htv)]]-Kuntien_asukasluvut_2017[[#This Row],[Todellinen panostus työryhmiin (htv)]])</f>
        <v>1.4724077125430002E-2</v>
      </c>
      <c r="J17" s="152">
        <f>SUM(Kuntien_asukasluvut_2017[[#This Row],[Laskennallinen panostus työryhmiin (€/vuosi)]]-Kuntien_asukasluvut_2017[[#This Row],[Todellinen panostus työryhmiin (€/vuosi)]])</f>
        <v>597.65029052120383</v>
      </c>
      <c r="M17" s="121"/>
      <c r="N17" s="121"/>
    </row>
    <row r="18" spans="1:14">
      <c r="B18" s="74" t="s">
        <v>53</v>
      </c>
      <c r="C18" s="145">
        <v>24056</v>
      </c>
      <c r="D18" s="146">
        <f>(Kuntien_asukasluvut_2017[[#This Row],[Asukasluku 31.12.2019*]]/Kuntien_asukasluvut_2017[[#Totals],[Asukasluku 31.12.2019*]])</f>
        <v>5.7950066969232696E-2</v>
      </c>
      <c r="E18" s="147">
        <f>SUM(Kuntien_asukasluvut_2017[[#This Row],[% Vaski-kuntien asukasluvusta]]*$D$4/Kuntien_asukasluvut_2017[[#Totals],[% Vaski-kuntien asukasluvusta]])</f>
        <v>0.17674770425615974</v>
      </c>
      <c r="F18" s="148">
        <f>SUM(Kuntien_asukasluvut_2017[[#This Row],[Laskennallinen panostus työryhmiin (htv)]]*$D$5)</f>
        <v>7174.1893157575241</v>
      </c>
      <c r="G18" s="149">
        <f>'Työryhmät 2021'!P15</f>
        <v>0.15000000000000002</v>
      </c>
      <c r="H18" s="150">
        <f>SUM(Kuntien_asukasluvut_2017[[#This Row],[Todellinen panostus työryhmiin (htv)]]*$D$5)</f>
        <v>6088.5000000000009</v>
      </c>
      <c r="I18" s="151">
        <f>SUM(Kuntien_asukasluvut_2017[[#This Row],[Laskennallinen panostus työryhmiin (htv)]]-Kuntien_asukasluvut_2017[[#This Row],[Todellinen panostus työryhmiin (htv)]])</f>
        <v>2.6747704256159716E-2</v>
      </c>
      <c r="J18" s="152">
        <f>SUM(Kuntien_asukasluvut_2017[[#This Row],[Laskennallinen panostus työryhmiin (€/vuosi)]]-Kuntien_asukasluvut_2017[[#This Row],[Todellinen panostus työryhmiin (€/vuosi)]])</f>
        <v>1085.6893157575232</v>
      </c>
      <c r="M18" s="121"/>
      <c r="N18" s="121"/>
    </row>
    <row r="19" spans="1:14">
      <c r="B19" s="74" t="s">
        <v>54</v>
      </c>
      <c r="C19" s="145">
        <v>6327</v>
      </c>
      <c r="D19" s="146">
        <f>(Kuntien_asukasluvut_2017[[#This Row],[Asukasluku 31.12.2019*]]/Kuntien_asukasluvut_2017[[#Totals],[Asukasluku 31.12.2019*]])</f>
        <v>1.5241522851443933E-2</v>
      </c>
      <c r="E19" s="147">
        <f>SUM(Kuntien_asukasluvut_2017[[#This Row],[% Vaski-kuntien asukasluvusta]]*$D$4/Kuntien_asukasluvut_2017[[#Totals],[% Vaski-kuntien asukasluvusta]])</f>
        <v>4.6486644696904E-2</v>
      </c>
      <c r="F19" s="148">
        <f>SUM(Kuntien_asukasluvut_2017[[#This Row],[Laskennallinen panostus työryhmiin (htv)]]*$D$5)</f>
        <v>1886.8929082473335</v>
      </c>
      <c r="G19" s="149">
        <f>'Työryhmät 2021'!P16</f>
        <v>0</v>
      </c>
      <c r="H19" s="150">
        <f>SUM(Kuntien_asukasluvut_2017[[#This Row],[Todellinen panostus työryhmiin (htv)]]*$D$5)</f>
        <v>0</v>
      </c>
      <c r="I19" s="151">
        <f>SUM(Kuntien_asukasluvut_2017[[#This Row],[Laskennallinen panostus työryhmiin (htv)]]-Kuntien_asukasluvut_2017[[#This Row],[Todellinen panostus työryhmiin (htv)]])</f>
        <v>4.6486644696904E-2</v>
      </c>
      <c r="J19" s="152">
        <f>SUM(Kuntien_asukasluvut_2017[[#This Row],[Laskennallinen panostus työryhmiin (€/vuosi)]]-Kuntien_asukasluvut_2017[[#This Row],[Todellinen panostus työryhmiin (€/vuosi)]])</f>
        <v>1886.8929082473335</v>
      </c>
      <c r="M19" s="121"/>
      <c r="N19" s="121"/>
    </row>
    <row r="20" spans="1:14">
      <c r="B20" s="89" t="s">
        <v>55</v>
      </c>
      <c r="C20" s="145">
        <v>51833</v>
      </c>
      <c r="D20" s="146">
        <f>(Kuntien_asukasluvut_2017[[#This Row],[Asukasluku 31.12.2019*]]/Kuntien_asukasluvut_2017[[#Totals],[Asukasluku 31.12.2019*]])</f>
        <v>0.12486389346592278</v>
      </c>
      <c r="E20" s="147">
        <f>SUM(Kuntien_asukasluvut_2017[[#This Row],[% Vaski-kuntien asukasluvusta]]*$D$4/Kuntien_asukasluvut_2017[[#Totals],[% Vaski-kuntien asukasluvusta]])</f>
        <v>0.3808348750710645</v>
      </c>
      <c r="F20" s="148">
        <f>SUM(Kuntien_asukasluvut_2017[[#This Row],[Laskennallinen panostus työryhmiin (htv)]]*$D$5)</f>
        <v>15458.087579134508</v>
      </c>
      <c r="G20" s="149">
        <f>'Työryhmät 2021'!P17</f>
        <v>0.2</v>
      </c>
      <c r="H20" s="150">
        <f>SUM(Kuntien_asukasluvut_2017[[#This Row],[Todellinen panostus työryhmiin (htv)]]*$D$5)</f>
        <v>8118</v>
      </c>
      <c r="I20" s="151">
        <f>SUM(Kuntien_asukasluvut_2017[[#This Row],[Laskennallinen panostus työryhmiin (htv)]]-Kuntien_asukasluvut_2017[[#This Row],[Todellinen panostus työryhmiin (htv)]])</f>
        <v>0.18083487507106449</v>
      </c>
      <c r="J20" s="152">
        <f>SUM(Kuntien_asukasluvut_2017[[#This Row],[Laskennallinen panostus työryhmiin (€/vuosi)]]-Kuntien_asukasluvut_2017[[#This Row],[Todellinen panostus työryhmiin (€/vuosi)]])</f>
        <v>7340.0875791345079</v>
      </c>
      <c r="M20" s="121"/>
      <c r="N20" s="121"/>
    </row>
    <row r="21" spans="1:14" ht="14.25" customHeight="1">
      <c r="A21" s="95"/>
      <c r="B21" s="89" t="s">
        <v>56</v>
      </c>
      <c r="C21" s="145">
        <v>2945</v>
      </c>
      <c r="D21" s="146">
        <f>(Kuntien_asukasluvut_2017[[#This Row],[Asukasluku 31.12.2019*]]/Kuntien_asukasluvut_2017[[#Totals],[Asukasluku 31.12.2019*]])</f>
        <v>7.094402528449879E-3</v>
      </c>
      <c r="E21" s="147">
        <f>SUM(Kuntien_asukasluvut_2017[[#This Row],[% Vaski-kuntien asukasluvusta]]*$D$4/Kuntien_asukasluvut_2017[[#Totals],[% Vaski-kuntien asukasluvusta]])</f>
        <v>2.1637927711772132E-2</v>
      </c>
      <c r="F21" s="148">
        <f>SUM(Kuntien_asukasluvut_2017[[#This Row],[Laskennallinen panostus työryhmiin (htv)]]*$D$5)</f>
        <v>878.28348582083083</v>
      </c>
      <c r="G21" s="149">
        <f>'Työryhmät 2021'!P18</f>
        <v>0</v>
      </c>
      <c r="H21" s="150">
        <f>SUM(Kuntien_asukasluvut_2017[[#This Row],[Todellinen panostus työryhmiin (htv)]]*$D$5)</f>
        <v>0</v>
      </c>
      <c r="I21" s="151">
        <f>SUM(Kuntien_asukasluvut_2017[[#This Row],[Laskennallinen panostus työryhmiin (htv)]]-Kuntien_asukasluvut_2017[[#This Row],[Todellinen panostus työryhmiin (htv)]])</f>
        <v>2.1637927711772132E-2</v>
      </c>
      <c r="J21" s="152">
        <f>SUM(Kuntien_asukasluvut_2017[[#This Row],[Laskennallinen panostus työryhmiin (€/vuosi)]]-Kuntien_asukasluvut_2017[[#This Row],[Todellinen panostus työryhmiin (€/vuosi)]])</f>
        <v>878.28348582083083</v>
      </c>
      <c r="M21" s="121"/>
      <c r="N21" s="121"/>
    </row>
    <row r="22" spans="1:14" ht="14.25" customHeight="1">
      <c r="A22" s="95"/>
      <c r="B22" s="91" t="s">
        <v>57</v>
      </c>
      <c r="C22" s="145">
        <v>1639</v>
      </c>
      <c r="D22" s="146">
        <f>(Kuntien_asukasluvut_2017[[#This Row],[Asukasluku 31.12.2019*]]/Kuntien_asukasluvut_2017[[#Totals],[Asukasluku 31.12.2019*]])</f>
        <v>3.9482939708418855E-3</v>
      </c>
      <c r="E22" s="147">
        <f>SUM(Kuntien_asukasluvut_2017[[#This Row],[% Vaski-kuntien asukasluvusta]]*$D$4/Kuntien_asukasluvut_2017[[#Totals],[% Vaski-kuntien asukasluvusta]])</f>
        <v>1.2042296611067751E-2</v>
      </c>
      <c r="F22" s="148">
        <f>SUM(Kuntien_asukasluvut_2017[[#This Row],[Laskennallinen panostus työryhmiin (htv)]]*$D$5)</f>
        <v>488.79681944324</v>
      </c>
      <c r="G22" s="149">
        <f>'Työryhmät 2021'!P19</f>
        <v>0.05</v>
      </c>
      <c r="H22" s="150">
        <f>SUM(Kuntien_asukasluvut_2017[[#This Row],[Todellinen panostus työryhmiin (htv)]]*$D$5)</f>
        <v>2029.5</v>
      </c>
      <c r="I22" s="151">
        <f>SUM(Kuntien_asukasluvut_2017[[#This Row],[Laskennallinen panostus työryhmiin (htv)]]-Kuntien_asukasluvut_2017[[#This Row],[Todellinen panostus työryhmiin (htv)]])</f>
        <v>-3.795770338893225E-2</v>
      </c>
      <c r="J22" s="152">
        <f>SUM(Kuntien_asukasluvut_2017[[#This Row],[Laskennallinen panostus työryhmiin (€/vuosi)]]-Kuntien_asukasluvut_2017[[#This Row],[Todellinen panostus työryhmiin (€/vuosi)]])</f>
        <v>-1540.7031805567599</v>
      </c>
      <c r="K22" s="156"/>
      <c r="M22" s="121"/>
      <c r="N22" s="121"/>
    </row>
    <row r="23" spans="1:14">
      <c r="A23" s="95"/>
      <c r="B23" s="89" t="s">
        <v>58</v>
      </c>
      <c r="C23" s="145">
        <v>192962</v>
      </c>
      <c r="D23" s="146">
        <f>(Kuntien_asukasluvut_2017[[#This Row],[Asukasluku 31.12.2019*]]/Kuntien_asukasluvut_2017[[#Totals],[Asukasluku 31.12.2019*]])</f>
        <v>0.46483874386918356</v>
      </c>
      <c r="E23" s="147">
        <f>SUM(Kuntien_asukasluvut_2017[[#This Row],[% Vaski-kuntien asukasluvusta]]*$D$4/Kuntien_asukasluvut_2017[[#Totals],[% Vaski-kuntien asukasluvusta]])</f>
        <v>1.4177581688010099</v>
      </c>
      <c r="F23" s="148">
        <f>SUM(Kuntien_asukasluvut_2017[[#This Row],[Laskennallinen panostus työryhmiin (htv)]]*$D$5)</f>
        <v>57546.804071632992</v>
      </c>
      <c r="G23" s="149">
        <f>'Työryhmät 2021'!P20</f>
        <v>2.1</v>
      </c>
      <c r="H23" s="150">
        <f>SUM(Kuntien_asukasluvut_2017[[#This Row],[Todellinen panostus työryhmiin (htv)]]*$D$5)</f>
        <v>85239</v>
      </c>
      <c r="I23" s="151">
        <f>SUM(Kuntien_asukasluvut_2017[[#This Row],[Laskennallinen panostus työryhmiin (htv)]]-Kuntien_asukasluvut_2017[[#This Row],[Todellinen panostus työryhmiin (htv)]])</f>
        <v>-0.68224183119899018</v>
      </c>
      <c r="J23" s="152">
        <f>SUM(Kuntien_asukasluvut_2017[[#This Row],[Laskennallinen panostus työryhmiin (€/vuosi)]]-Kuntien_asukasluvut_2017[[#This Row],[Todellinen panostus työryhmiin (€/vuosi)]])</f>
        <v>-27692.195928367008</v>
      </c>
      <c r="K23" s="156"/>
      <c r="M23" s="121"/>
      <c r="N23" s="121"/>
    </row>
    <row r="24" spans="1:14">
      <c r="A24" s="95"/>
      <c r="B24" s="89" t="s">
        <v>59</v>
      </c>
      <c r="C24" s="145">
        <v>15522</v>
      </c>
      <c r="D24" s="146">
        <f>(Kuntien_asukasluvut_2017[[#This Row],[Asukasluku 31.12.2019*]]/Kuntien_asukasluvut_2017[[#Totals],[Asukasluku 31.12.2019*]])</f>
        <v>3.7391957910559936E-2</v>
      </c>
      <c r="E24" s="147">
        <f>SUM(Kuntien_asukasluvut_2017[[#This Row],[% Vaski-kuntien asukasluvusta]]*$D$4/Kuntien_asukasluvut_2017[[#Totals],[% Vaski-kuntien asukasluvusta]])</f>
        <v>0.11404547162720782</v>
      </c>
      <c r="F24" s="148">
        <f>SUM(Kuntien_asukasluvut_2017[[#This Row],[Laskennallinen panostus työryhmiin (htv)]]*$D$5)</f>
        <v>4629.1056933483651</v>
      </c>
      <c r="G24" s="149">
        <f>'Työryhmät 2021'!P21</f>
        <v>0.05</v>
      </c>
      <c r="H24" s="150">
        <f>SUM(Kuntien_asukasluvut_2017[[#This Row],[Todellinen panostus työryhmiin (htv)]]*$D$5)</f>
        <v>2029.5</v>
      </c>
      <c r="I24" s="151">
        <f>SUM(Kuntien_asukasluvut_2017[[#This Row],[Laskennallinen panostus työryhmiin (htv)]]-Kuntien_asukasluvut_2017[[#This Row],[Todellinen panostus työryhmiin (htv)]])</f>
        <v>6.404547162720782E-2</v>
      </c>
      <c r="J24" s="152">
        <f>SUM(Kuntien_asukasluvut_2017[[#This Row],[Laskennallinen panostus työryhmiin (€/vuosi)]]-Kuntien_asukasluvut_2017[[#This Row],[Todellinen panostus työryhmiin (€/vuosi)]])</f>
        <v>2599.6056933483651</v>
      </c>
      <c r="K24" s="156"/>
      <c r="M24" s="121"/>
      <c r="N24" s="121"/>
    </row>
    <row r="25" spans="1:14">
      <c r="A25" s="95"/>
      <c r="B25" s="89" t="s">
        <v>60</v>
      </c>
      <c r="C25" s="145">
        <v>2293</v>
      </c>
      <c r="D25" s="146">
        <f>(Kuntien_asukasluvut_2017[[#This Row],[Asukasluku 31.12.2019*]]/Kuntien_asukasluvut_2017[[#Totals],[Asukasluku 31.12.2019*]])</f>
        <v>5.5237572148507889E-3</v>
      </c>
      <c r="E25" s="147">
        <f>SUM(Kuntien_asukasluvut_2017[[#This Row],[% Vaski-kuntien asukasluvusta]]*$D$4/Kuntien_asukasluvut_2017[[#Totals],[% Vaski-kuntien asukasluvusta]])</f>
        <v>1.6847459505294909E-2</v>
      </c>
      <c r="F25" s="148">
        <f>SUM(Kuntien_asukasluvut_2017[[#This Row],[Laskennallinen panostus työryhmiin (htv)]]*$D$5)</f>
        <v>683.83838131992036</v>
      </c>
      <c r="G25" s="149">
        <f>'Työryhmät 2021'!P22</f>
        <v>0</v>
      </c>
      <c r="H25" s="150">
        <f>SUM(Kuntien_asukasluvut_2017[[#This Row],[Todellinen panostus työryhmiin (htv)]]*$D$5)</f>
        <v>0</v>
      </c>
      <c r="I25" s="151">
        <f>SUM(Kuntien_asukasluvut_2017[[#This Row],[Laskennallinen panostus työryhmiin (htv)]]-Kuntien_asukasluvut_2017[[#This Row],[Todellinen panostus työryhmiin (htv)]])</f>
        <v>1.6847459505294909E-2</v>
      </c>
      <c r="J25" s="152">
        <f>SUM(Kuntien_asukasluvut_2017[[#This Row],[Laskennallinen panostus työryhmiin (€/vuosi)]]-Kuntien_asukasluvut_2017[[#This Row],[Todellinen panostus työryhmiin (€/vuosi)]])</f>
        <v>683.83838131992036</v>
      </c>
      <c r="K25" s="156"/>
      <c r="M25" s="121"/>
      <c r="N25" s="121"/>
    </row>
    <row r="26" spans="1:14">
      <c r="A26" s="95"/>
      <c r="B26" s="189" t="s">
        <v>34</v>
      </c>
      <c r="C26" s="190">
        <f>SUBTOTAL(109,Kuntien_asukasluvut_2017[Asukasluku 31.12.2019*])</f>
        <v>415116</v>
      </c>
      <c r="D26" s="191">
        <f>SUBTOTAL(109,Kuntien_asukasluvut_2017[% Vaski-kuntien asukasluvusta])</f>
        <v>1</v>
      </c>
      <c r="E26" s="192">
        <f>SUBTOTAL(109,Kuntien_asukasluvut_2017[Laskennallinen panostus työryhmiin (htv)])</f>
        <v>3.0500000000000007</v>
      </c>
      <c r="F26" s="193">
        <f>SUBTOTAL(109,Kuntien_asukasluvut_2017[Laskennallinen panostus työryhmiin (€/vuosi)])</f>
        <v>123799.5</v>
      </c>
      <c r="G26" s="192">
        <f>SUBTOTAL(109,Kuntien_asukasluvut_2017[Todellinen panostus työryhmiin (htv)])</f>
        <v>3.05</v>
      </c>
      <c r="H26" s="193">
        <f>SUBTOTAL(109,Kuntien_asukasluvut_2017[Todellinen panostus työryhmiin (€/vuosi)])</f>
        <v>123799.5</v>
      </c>
      <c r="I26" s="192">
        <f>SUBTOTAL(109,Kuntien_asukasluvut_2017[Laskennallisen ja todellisen panoksen ero (htv)])</f>
        <v>0</v>
      </c>
      <c r="J26" s="194">
        <f>SUBTOTAL(109,Kuntien_asukasluvut_2017[Laskennallisen ja todellisen panoksen ero (€/vuosi)])</f>
        <v>4.2064129956997931E-12</v>
      </c>
      <c r="K26" s="156"/>
      <c r="M26" s="121"/>
      <c r="N26" s="121"/>
    </row>
    <row r="27" spans="1:14">
      <c r="B27" s="156"/>
      <c r="C27" s="157"/>
      <c r="D27" s="156"/>
      <c r="E27" s="156"/>
      <c r="F27" s="156"/>
      <c r="G27" s="158"/>
      <c r="H27" s="156"/>
      <c r="I27" s="156"/>
      <c r="J27" s="156"/>
      <c r="K27" s="156"/>
      <c r="M27" s="121"/>
      <c r="N27" s="121"/>
    </row>
    <row r="28" spans="1:14">
      <c r="B28" s="159" t="s">
        <v>81</v>
      </c>
      <c r="C28" s="160"/>
      <c r="D28" s="156"/>
      <c r="E28" s="156"/>
      <c r="F28" s="156"/>
      <c r="G28" s="158"/>
      <c r="H28" s="156"/>
      <c r="I28" s="156"/>
      <c r="J28" s="156"/>
      <c r="K28" s="156"/>
      <c r="M28" s="121"/>
      <c r="N28" s="121"/>
    </row>
    <row r="29" spans="1:14">
      <c r="B29" s="161" t="s">
        <v>82</v>
      </c>
      <c r="C29" s="160"/>
      <c r="D29" s="156"/>
      <c r="E29" s="156"/>
      <c r="F29" s="156"/>
      <c r="G29" s="158"/>
      <c r="H29" s="156"/>
      <c r="I29" s="156"/>
      <c r="J29" s="156"/>
      <c r="K29" s="156"/>
    </row>
    <row r="30" spans="1:14">
      <c r="B30" s="156"/>
      <c r="C30" s="157"/>
      <c r="D30" s="156"/>
      <c r="E30" s="156"/>
      <c r="F30" s="156"/>
      <c r="G30" s="158"/>
      <c r="H30" s="156"/>
      <c r="I30" s="156"/>
      <c r="J30" s="156"/>
      <c r="K30" s="156"/>
    </row>
    <row r="31" spans="1:14" ht="16.5">
      <c r="B31" s="162" t="s">
        <v>83</v>
      </c>
      <c r="C31" s="163"/>
      <c r="D31" s="164"/>
      <c r="E31" s="164"/>
      <c r="F31" s="165"/>
      <c r="G31" s="166"/>
      <c r="H31" s="164"/>
      <c r="I31" s="164"/>
      <c r="J31" s="164"/>
      <c r="K31" s="156"/>
    </row>
    <row r="32" spans="1:14" ht="16.5">
      <c r="B32" s="167" t="s">
        <v>84</v>
      </c>
      <c r="C32" s="168" t="s">
        <v>85</v>
      </c>
      <c r="D32" s="168" t="s">
        <v>86</v>
      </c>
      <c r="E32" s="169" t="s">
        <v>87</v>
      </c>
      <c r="F32" s="170" t="s">
        <v>88</v>
      </c>
      <c r="G32" s="166"/>
      <c r="H32" s="164"/>
      <c r="I32" s="164"/>
      <c r="J32" s="164"/>
      <c r="K32" s="156"/>
    </row>
    <row r="33" spans="2:11" ht="16.5">
      <c r="B33" s="171">
        <v>2750</v>
      </c>
      <c r="C33" s="172">
        <v>0.23</v>
      </c>
      <c r="D33" s="171">
        <f>B33*C33</f>
        <v>632.5</v>
      </c>
      <c r="E33" s="173">
        <f>B33+D33</f>
        <v>3382.5</v>
      </c>
      <c r="F33" s="174">
        <f>E33*12</f>
        <v>40590</v>
      </c>
      <c r="G33" s="166"/>
      <c r="H33" s="164"/>
      <c r="I33" s="164"/>
      <c r="J33" s="164"/>
      <c r="K33" s="156"/>
    </row>
    <row r="34" spans="2:11" ht="16.5">
      <c r="G34" s="175"/>
      <c r="H34" s="164"/>
      <c r="I34" s="164"/>
      <c r="J34" s="164"/>
      <c r="K34" s="156"/>
    </row>
    <row r="35" spans="2:11" ht="16.5">
      <c r="B35" s="164"/>
      <c r="C35" s="163"/>
      <c r="D35" s="164"/>
      <c r="E35" s="164"/>
      <c r="F35" s="164"/>
      <c r="G35" s="175"/>
      <c r="H35" s="164"/>
      <c r="I35" s="164"/>
      <c r="J35" s="164"/>
      <c r="K35" s="156"/>
    </row>
    <row r="36" spans="2:11" ht="16.5">
      <c r="B36" s="156"/>
      <c r="C36" s="157"/>
      <c r="D36" s="156"/>
      <c r="E36" s="164"/>
      <c r="F36" s="164"/>
      <c r="G36" s="158"/>
      <c r="H36" s="156"/>
      <c r="I36" s="156"/>
      <c r="J36" s="156"/>
      <c r="K36" s="156"/>
    </row>
    <row r="37" spans="2:11">
      <c r="B37" s="156"/>
      <c r="C37" s="157"/>
      <c r="D37" s="176"/>
      <c r="E37" s="156"/>
      <c r="F37" s="156"/>
      <c r="G37" s="177"/>
      <c r="H37" s="156"/>
      <c r="I37" s="156"/>
      <c r="J37" s="156"/>
      <c r="K37" s="156"/>
    </row>
    <row r="38" spans="2:11">
      <c r="B38" s="156"/>
      <c r="C38" s="157"/>
      <c r="D38" s="156"/>
      <c r="E38" s="156"/>
      <c r="F38" s="156"/>
      <c r="G38" s="158"/>
      <c r="H38" s="156"/>
      <c r="I38" s="156"/>
      <c r="J38" s="156"/>
      <c r="K38" s="156"/>
    </row>
    <row r="39" spans="2:11">
      <c r="B39" s="156"/>
      <c r="C39" s="157"/>
      <c r="D39" s="176"/>
      <c r="E39" s="156"/>
      <c r="F39" s="156"/>
      <c r="G39" s="177"/>
      <c r="H39" s="156"/>
      <c r="I39" s="156"/>
      <c r="J39" s="156"/>
      <c r="K39" s="156"/>
    </row>
    <row r="40" spans="2:11">
      <c r="B40" s="156"/>
      <c r="C40" s="157"/>
      <c r="D40" s="156"/>
      <c r="E40" s="156"/>
      <c r="F40" s="156"/>
      <c r="G40" s="158"/>
      <c r="H40" s="156"/>
      <c r="I40" s="156"/>
      <c r="J40" s="156"/>
      <c r="K40" s="156"/>
    </row>
    <row r="41" spans="2:11">
      <c r="C41" s="157"/>
      <c r="E41" s="156"/>
      <c r="F41" s="156"/>
      <c r="G41" s="178"/>
    </row>
    <row r="42" spans="2:11">
      <c r="C42" s="157"/>
      <c r="G42" s="178"/>
    </row>
    <row r="43" spans="2:11">
      <c r="C43" s="157"/>
      <c r="D43" s="179"/>
      <c r="G43" s="180"/>
    </row>
    <row r="44" spans="2:11">
      <c r="C44" s="157"/>
      <c r="G44" s="178"/>
    </row>
    <row r="45" spans="2:11">
      <c r="C45" s="157"/>
      <c r="G45" s="178"/>
    </row>
    <row r="46" spans="2:11">
      <c r="C46" s="157"/>
      <c r="G46" s="178"/>
    </row>
    <row r="47" spans="2:11">
      <c r="C47" s="157"/>
      <c r="D47" s="179"/>
      <c r="G47" s="180"/>
    </row>
    <row r="48" spans="2:11">
      <c r="C48" s="157"/>
      <c r="G48" s="178"/>
    </row>
    <row r="49" spans="3:7">
      <c r="C49" s="157"/>
      <c r="G49" s="178"/>
    </row>
    <row r="50" spans="3:7">
      <c r="C50" s="157"/>
      <c r="G50" s="178"/>
    </row>
    <row r="51" spans="3:7">
      <c r="C51" s="157"/>
      <c r="D51" s="179"/>
      <c r="G51" s="180"/>
    </row>
    <row r="52" spans="3:7">
      <c r="C52" s="157"/>
      <c r="G52" s="178"/>
    </row>
    <row r="53" spans="3:7">
      <c r="C53" s="157"/>
      <c r="D53" s="179"/>
      <c r="G53" s="180"/>
    </row>
    <row r="54" spans="3:7">
      <c r="C54" s="157"/>
      <c r="G54" s="178"/>
    </row>
    <row r="55" spans="3:7">
      <c r="C55" s="157"/>
      <c r="G55" s="178"/>
    </row>
    <row r="56" spans="3:7">
      <c r="C56" s="157"/>
      <c r="G56" s="178"/>
    </row>
    <row r="57" spans="3:7">
      <c r="C57" s="157"/>
      <c r="D57" s="179"/>
      <c r="G57" s="180"/>
    </row>
    <row r="58" spans="3:7">
      <c r="C58" s="157"/>
      <c r="G58" s="178"/>
    </row>
    <row r="59" spans="3:7">
      <c r="C59" s="157"/>
      <c r="G59" s="178"/>
    </row>
    <row r="60" spans="3:7">
      <c r="C60" s="157"/>
      <c r="G60" s="178"/>
    </row>
    <row r="61" spans="3:7">
      <c r="C61" s="157"/>
      <c r="D61" s="179"/>
      <c r="G61" s="180"/>
    </row>
    <row r="62" spans="3:7">
      <c r="C62" s="157"/>
      <c r="G62" s="178"/>
    </row>
    <row r="63" spans="3:7">
      <c r="C63" s="157"/>
      <c r="G63" s="178"/>
    </row>
    <row r="64" spans="3:7">
      <c r="C64" s="157"/>
      <c r="G64" s="178"/>
    </row>
    <row r="65" spans="3:7">
      <c r="C65" s="157"/>
      <c r="D65" s="179"/>
      <c r="G65" s="180"/>
    </row>
    <row r="66" spans="3:7">
      <c r="C66" s="157"/>
      <c r="G66" s="178"/>
    </row>
    <row r="67" spans="3:7">
      <c r="C67" s="157"/>
      <c r="D67" s="179"/>
      <c r="G67" s="180"/>
    </row>
    <row r="68" spans="3:7">
      <c r="C68" s="157"/>
      <c r="G68" s="178"/>
    </row>
    <row r="69" spans="3:7">
      <c r="C69" s="157"/>
      <c r="G69" s="178"/>
    </row>
    <row r="70" spans="3:7">
      <c r="C70" s="157"/>
      <c r="G70" s="178"/>
    </row>
    <row r="71" spans="3:7">
      <c r="C71" s="157"/>
      <c r="D71" s="179"/>
      <c r="G71" s="180"/>
    </row>
    <row r="72" spans="3:7">
      <c r="C72" s="157"/>
      <c r="G72" s="178"/>
    </row>
    <row r="73" spans="3:7">
      <c r="C73" s="157"/>
      <c r="G73" s="178"/>
    </row>
    <row r="74" spans="3:7">
      <c r="C74" s="157"/>
      <c r="G74" s="178"/>
    </row>
    <row r="75" spans="3:7">
      <c r="C75" s="157"/>
      <c r="D75" s="179"/>
      <c r="G75" s="180"/>
    </row>
    <row r="76" spans="3:7">
      <c r="C76" s="157"/>
      <c r="G76" s="178"/>
    </row>
    <row r="77" spans="3:7">
      <c r="C77" s="157"/>
      <c r="G77" s="178"/>
    </row>
    <row r="78" spans="3:7">
      <c r="C78" s="157"/>
      <c r="G78" s="178"/>
    </row>
    <row r="79" spans="3:7">
      <c r="C79" s="157"/>
      <c r="D79" s="179"/>
      <c r="G79" s="180"/>
    </row>
    <row r="80" spans="3:7">
      <c r="C80" s="157"/>
      <c r="G80" s="178"/>
    </row>
    <row r="81" spans="3:7">
      <c r="C81" s="157"/>
      <c r="G81" s="181"/>
    </row>
    <row r="82" spans="3:7">
      <c r="C82" s="157"/>
    </row>
    <row r="83" spans="3:7">
      <c r="C83" s="157"/>
    </row>
    <row r="84" spans="3:7">
      <c r="C84" s="157"/>
    </row>
    <row r="85" spans="3:7">
      <c r="C85" s="157"/>
    </row>
    <row r="86" spans="3:7">
      <c r="C86" s="157"/>
    </row>
    <row r="87" spans="3:7">
      <c r="C87" s="157"/>
    </row>
    <row r="88" spans="3:7">
      <c r="C88" s="157"/>
    </row>
    <row r="89" spans="3:7">
      <c r="C89" s="157"/>
    </row>
    <row r="90" spans="3:7">
      <c r="C90" s="157"/>
    </row>
    <row r="91" spans="3:7">
      <c r="C91" s="157"/>
    </row>
    <row r="92" spans="3:7">
      <c r="C92" s="157"/>
    </row>
    <row r="93" spans="3:7">
      <c r="C93" s="157"/>
    </row>
    <row r="94" spans="3:7">
      <c r="C94" s="157"/>
    </row>
    <row r="95" spans="3:7">
      <c r="C95" s="157"/>
    </row>
    <row r="96" spans="3:7">
      <c r="C96" s="157"/>
    </row>
    <row r="97" spans="3:3">
      <c r="C97" s="157"/>
    </row>
    <row r="98" spans="3:3">
      <c r="C98" s="157"/>
    </row>
    <row r="99" spans="3:3">
      <c r="C99" s="157"/>
    </row>
    <row r="100" spans="3:3">
      <c r="C100" s="157"/>
    </row>
    <row r="101" spans="3:3">
      <c r="C101" s="157"/>
    </row>
    <row r="102" spans="3:3">
      <c r="C102" s="157"/>
    </row>
    <row r="103" spans="3:3">
      <c r="C103" s="157"/>
    </row>
    <row r="104" spans="3:3">
      <c r="C104" s="157"/>
    </row>
    <row r="105" spans="3:3">
      <c r="C105" s="157"/>
    </row>
    <row r="106" spans="3:3">
      <c r="C106" s="157"/>
    </row>
    <row r="107" spans="3:3">
      <c r="C107" s="157"/>
    </row>
    <row r="108" spans="3:3">
      <c r="C108" s="157"/>
    </row>
    <row r="109" spans="3:3">
      <c r="C109" s="157"/>
    </row>
    <row r="110" spans="3:3">
      <c r="C110" s="157"/>
    </row>
    <row r="111" spans="3:3">
      <c r="C111" s="157"/>
    </row>
    <row r="112" spans="3:3">
      <c r="C112" s="157"/>
    </row>
  </sheetData>
  <conditionalFormatting sqref="I8:J25">
    <cfRule type="cellIs" dxfId="57" priority="1" operator="lessThan">
      <formula>0</formula>
    </cfRule>
  </conditionalFormatting>
  <hyperlinks>
    <hyperlink ref="B29" r:id="rId1" xr:uid="{00000000-0004-0000-0200-000000000000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"/>
  <sheetViews>
    <sheetView topLeftCell="A6" workbookViewId="0">
      <selection activeCell="K20" sqref="K20"/>
    </sheetView>
  </sheetViews>
  <sheetFormatPr defaultColWidth="8.85546875" defaultRowHeight="14.25"/>
  <cols>
    <col min="1" max="1" width="2.5703125" style="107" customWidth="1"/>
    <col min="2" max="2" width="2.5703125" style="95" customWidth="1"/>
    <col min="3" max="4" width="23.5703125" style="121" customWidth="1"/>
    <col min="5" max="5" width="15.5703125" style="121" customWidth="1"/>
    <col min="6" max="6" width="9.5703125" style="121" customWidth="1"/>
    <col min="7" max="7" width="25.42578125" style="121" customWidth="1"/>
    <col min="8" max="8" width="2.5703125" style="121" customWidth="1"/>
    <col min="9" max="9" width="16.5703125" style="121" customWidth="1"/>
    <col min="10" max="10" width="10" style="121" customWidth="1"/>
    <col min="11" max="16" width="10" style="56" customWidth="1"/>
    <col min="17" max="16384" width="8.85546875" style="56"/>
  </cols>
  <sheetData>
    <row r="1" spans="1:16" s="47" customFormat="1" ht="28.5" customHeight="1">
      <c r="A1" s="44"/>
      <c r="B1" s="228"/>
      <c r="C1" s="228"/>
      <c r="D1" s="45"/>
      <c r="E1" s="46"/>
      <c r="H1" s="44"/>
      <c r="I1" s="44"/>
      <c r="J1" s="44"/>
    </row>
    <row r="2" spans="1:16" s="47" customFormat="1" ht="28.5" customHeight="1">
      <c r="A2" s="48"/>
      <c r="B2" s="49" t="s">
        <v>89</v>
      </c>
      <c r="C2" s="50"/>
      <c r="D2" s="51"/>
      <c r="E2" s="51"/>
      <c r="F2" s="52" t="s">
        <v>69</v>
      </c>
      <c r="G2" s="53">
        <f ca="1">TODAY()</f>
        <v>43978</v>
      </c>
      <c r="H2" s="48"/>
      <c r="I2" s="44"/>
      <c r="J2" s="44"/>
    </row>
    <row r="3" spans="1:16" ht="36" customHeight="1">
      <c r="A3" s="54"/>
      <c r="B3" s="229" t="s">
        <v>90</v>
      </c>
      <c r="C3" s="229"/>
      <c r="D3" s="229"/>
      <c r="E3" s="229"/>
      <c r="F3" s="229"/>
      <c r="G3" s="229"/>
      <c r="H3" s="55"/>
      <c r="I3" s="227" t="s">
        <v>91</v>
      </c>
      <c r="J3" s="227"/>
      <c r="K3" s="227"/>
      <c r="L3" s="227"/>
      <c r="M3" s="227"/>
      <c r="N3" s="227"/>
    </row>
    <row r="4" spans="1:16" ht="36" customHeight="1">
      <c r="A4" s="57"/>
      <c r="B4" s="58" t="s">
        <v>92</v>
      </c>
      <c r="C4" s="59" t="s">
        <v>93</v>
      </c>
      <c r="D4" s="60" t="s">
        <v>94</v>
      </c>
      <c r="E4" s="59" t="s">
        <v>95</v>
      </c>
      <c r="F4" s="59" t="s">
        <v>96</v>
      </c>
      <c r="G4" s="61" t="s">
        <v>97</v>
      </c>
      <c r="H4" s="62"/>
      <c r="I4" s="63" t="s">
        <v>95</v>
      </c>
      <c r="J4" s="64" t="s">
        <v>98</v>
      </c>
      <c r="K4" s="65" t="s">
        <v>99</v>
      </c>
      <c r="L4" s="65" t="s">
        <v>100</v>
      </c>
      <c r="M4" s="65" t="s">
        <v>101</v>
      </c>
      <c r="N4" s="65" t="s">
        <v>102</v>
      </c>
      <c r="O4" s="66" t="s">
        <v>103</v>
      </c>
      <c r="P4" s="67" t="s">
        <v>104</v>
      </c>
    </row>
    <row r="5" spans="1:16" ht="15" customHeight="1">
      <c r="A5" s="68"/>
      <c r="B5" s="69" t="s">
        <v>105</v>
      </c>
      <c r="C5" s="70"/>
      <c r="D5" s="71"/>
      <c r="E5" s="70"/>
      <c r="F5" s="72"/>
      <c r="G5" s="73"/>
      <c r="H5" s="62"/>
      <c r="I5" s="74" t="s">
        <v>42</v>
      </c>
      <c r="J5" s="75">
        <v>0</v>
      </c>
      <c r="K5" s="75">
        <v>0.1</v>
      </c>
      <c r="L5" s="75">
        <v>0.1</v>
      </c>
      <c r="M5" s="75">
        <v>0.05</v>
      </c>
      <c r="N5" s="75">
        <v>0</v>
      </c>
      <c r="O5" s="75">
        <v>0</v>
      </c>
      <c r="P5" s="76">
        <f t="shared" ref="P5:P22" si="0">SUM(J5:O5)</f>
        <v>0.25</v>
      </c>
    </row>
    <row r="6" spans="1:16" ht="15" customHeight="1">
      <c r="A6" s="68"/>
      <c r="B6" s="77">
        <f>IF(F6="","",1)</f>
        <v>1</v>
      </c>
      <c r="C6" s="78" t="s">
        <v>106</v>
      </c>
      <c r="D6" s="79" t="s">
        <v>107</v>
      </c>
      <c r="E6" s="80" t="s">
        <v>58</v>
      </c>
      <c r="F6" s="81">
        <v>0.25</v>
      </c>
      <c r="G6" s="82"/>
      <c r="H6" s="62"/>
      <c r="I6" s="74" t="s">
        <v>44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6">
        <f t="shared" si="0"/>
        <v>0</v>
      </c>
    </row>
    <row r="7" spans="1:16" ht="15" customHeight="1">
      <c r="A7" s="68"/>
      <c r="B7" s="77">
        <f>IF(F7="","",2)</f>
        <v>2</v>
      </c>
      <c r="C7" s="80" t="s">
        <v>108</v>
      </c>
      <c r="D7" s="79" t="s">
        <v>109</v>
      </c>
      <c r="E7" s="80" t="s">
        <v>49</v>
      </c>
      <c r="F7" s="83">
        <v>0.05</v>
      </c>
      <c r="G7" s="82"/>
      <c r="H7" s="62"/>
      <c r="I7" s="74" t="s">
        <v>45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6">
        <f t="shared" si="0"/>
        <v>0</v>
      </c>
    </row>
    <row r="8" spans="1:16" ht="15" customHeight="1">
      <c r="A8" s="68"/>
      <c r="B8" s="77">
        <f>IF(F8="","",3)</f>
        <v>3</v>
      </c>
      <c r="C8" s="80"/>
      <c r="D8" s="79" t="s">
        <v>110</v>
      </c>
      <c r="E8" s="80" t="s">
        <v>58</v>
      </c>
      <c r="F8" s="83">
        <v>0.1</v>
      </c>
      <c r="G8" s="82"/>
      <c r="H8" s="62"/>
      <c r="I8" s="74" t="s">
        <v>46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f t="shared" si="0"/>
        <v>0</v>
      </c>
    </row>
    <row r="9" spans="1:16" ht="15" customHeight="1">
      <c r="A9" s="68"/>
      <c r="B9" s="77">
        <f>IF(F9="","",4)</f>
        <v>4</v>
      </c>
      <c r="C9" s="80"/>
      <c r="D9" s="79" t="s">
        <v>111</v>
      </c>
      <c r="E9" s="80" t="s">
        <v>58</v>
      </c>
      <c r="F9" s="83">
        <v>0.15</v>
      </c>
      <c r="G9" s="82"/>
      <c r="H9" s="62"/>
      <c r="I9" s="74" t="s">
        <v>47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f t="shared" si="0"/>
        <v>0</v>
      </c>
    </row>
    <row r="10" spans="1:16" ht="15" customHeight="1">
      <c r="A10" s="68"/>
      <c r="B10" s="77">
        <f>IF(F10="","",5)</f>
        <v>5</v>
      </c>
      <c r="C10" s="80" t="s">
        <v>112</v>
      </c>
      <c r="D10" s="84" t="s">
        <v>113</v>
      </c>
      <c r="E10" s="80" t="s">
        <v>58</v>
      </c>
      <c r="F10" s="83">
        <v>0.1</v>
      </c>
      <c r="G10" s="82"/>
      <c r="H10" s="62"/>
      <c r="I10" s="74" t="s">
        <v>48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6">
        <f t="shared" si="0"/>
        <v>0</v>
      </c>
    </row>
    <row r="11" spans="1:16" ht="15" customHeight="1">
      <c r="A11" s="68"/>
      <c r="B11" s="77">
        <f>IF(F11="","",7)</f>
        <v>7</v>
      </c>
      <c r="C11" s="80" t="s">
        <v>114</v>
      </c>
      <c r="D11" s="84" t="s">
        <v>115</v>
      </c>
      <c r="E11" s="78" t="s">
        <v>49</v>
      </c>
      <c r="F11" s="81">
        <v>0.05</v>
      </c>
      <c r="G11" s="82"/>
      <c r="H11" s="62"/>
      <c r="I11" s="74" t="s">
        <v>49</v>
      </c>
      <c r="J11" s="75">
        <v>0.1</v>
      </c>
      <c r="K11" s="75">
        <v>0</v>
      </c>
      <c r="L11" s="75">
        <v>0.1</v>
      </c>
      <c r="M11" s="75">
        <v>0</v>
      </c>
      <c r="N11" s="75">
        <v>0</v>
      </c>
      <c r="O11" s="75">
        <v>0</v>
      </c>
      <c r="P11" s="76">
        <f t="shared" si="0"/>
        <v>0.2</v>
      </c>
    </row>
    <row r="12" spans="1:16" ht="15" customHeight="1">
      <c r="A12" s="68"/>
      <c r="B12" s="77" t="str">
        <f>IF(F12="","",8)</f>
        <v/>
      </c>
      <c r="C12" s="80"/>
      <c r="D12" s="79"/>
      <c r="E12" s="78"/>
      <c r="F12" s="83"/>
      <c r="G12" s="82"/>
      <c r="H12" s="62"/>
      <c r="I12" s="74" t="s">
        <v>50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f t="shared" si="0"/>
        <v>0</v>
      </c>
    </row>
    <row r="13" spans="1:16" ht="15" customHeight="1">
      <c r="A13" s="68"/>
      <c r="B13" s="85">
        <f>COUNT(B6:B12)</f>
        <v>6</v>
      </c>
      <c r="C13" s="86" t="s">
        <v>116</v>
      </c>
      <c r="D13" s="86"/>
      <c r="E13" s="87" t="s">
        <v>117</v>
      </c>
      <c r="F13" s="88">
        <f>SUM(F6:F12)</f>
        <v>0.70000000000000007</v>
      </c>
      <c r="G13" s="86" t="s">
        <v>118</v>
      </c>
      <c r="H13" s="62"/>
      <c r="I13" s="74" t="s">
        <v>51</v>
      </c>
      <c r="J13" s="75">
        <v>0</v>
      </c>
      <c r="K13" s="75">
        <v>0.05</v>
      </c>
      <c r="L13" s="75">
        <v>0</v>
      </c>
      <c r="M13" s="75">
        <v>0</v>
      </c>
      <c r="N13" s="75">
        <v>0</v>
      </c>
      <c r="O13" s="75">
        <v>0</v>
      </c>
      <c r="P13" s="76">
        <f t="shared" si="0"/>
        <v>0.05</v>
      </c>
    </row>
    <row r="14" spans="1:16" ht="15" customHeight="1">
      <c r="A14" s="68"/>
      <c r="B14" s="69" t="s">
        <v>119</v>
      </c>
      <c r="C14" s="70"/>
      <c r="D14" s="71"/>
      <c r="E14" s="70"/>
      <c r="F14" s="72"/>
      <c r="G14" s="73"/>
      <c r="H14" s="62"/>
      <c r="I14" s="74" t="s">
        <v>52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6">
        <f t="shared" si="0"/>
        <v>0</v>
      </c>
    </row>
    <row r="15" spans="1:16" ht="15" customHeight="1">
      <c r="A15" s="68"/>
      <c r="B15" s="77">
        <f>IF(F15="","",1)</f>
        <v>1</v>
      </c>
      <c r="C15" s="78" t="s">
        <v>106</v>
      </c>
      <c r="D15" s="84" t="s">
        <v>120</v>
      </c>
      <c r="E15" s="78" t="s">
        <v>58</v>
      </c>
      <c r="F15" s="81">
        <v>0.2</v>
      </c>
      <c r="G15" s="82"/>
      <c r="H15" s="62"/>
      <c r="I15" s="74" t="s">
        <v>53</v>
      </c>
      <c r="J15" s="75">
        <v>0</v>
      </c>
      <c r="K15" s="75">
        <v>0</v>
      </c>
      <c r="L15" s="75">
        <v>0.1</v>
      </c>
      <c r="M15" s="75">
        <v>0.05</v>
      </c>
      <c r="N15" s="75">
        <v>0</v>
      </c>
      <c r="O15" s="75">
        <v>0</v>
      </c>
      <c r="P15" s="76">
        <f t="shared" si="0"/>
        <v>0.15000000000000002</v>
      </c>
    </row>
    <row r="16" spans="1:16" ht="15" customHeight="1">
      <c r="A16" s="68"/>
      <c r="B16" s="77">
        <f>IF(F16="","",2)</f>
        <v>2</v>
      </c>
      <c r="C16" s="80"/>
      <c r="D16" s="79" t="s">
        <v>121</v>
      </c>
      <c r="E16" s="80" t="s">
        <v>42</v>
      </c>
      <c r="F16" s="83">
        <v>0.05</v>
      </c>
      <c r="G16" s="82"/>
      <c r="H16" s="62"/>
      <c r="I16" s="74" t="s">
        <v>54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f t="shared" si="0"/>
        <v>0</v>
      </c>
    </row>
    <row r="17" spans="1:16" ht="15" customHeight="1">
      <c r="A17" s="68"/>
      <c r="B17" s="77">
        <f>IF(F17="","",3)</f>
        <v>3</v>
      </c>
      <c r="C17" s="80"/>
      <c r="D17" s="79" t="s">
        <v>122</v>
      </c>
      <c r="E17" s="80" t="s">
        <v>42</v>
      </c>
      <c r="F17" s="83">
        <v>0.05</v>
      </c>
      <c r="G17" s="82"/>
      <c r="H17" s="62"/>
      <c r="I17" s="89" t="s">
        <v>55</v>
      </c>
      <c r="J17" s="75">
        <v>0</v>
      </c>
      <c r="K17" s="75">
        <v>0.05</v>
      </c>
      <c r="L17" s="75">
        <v>0.1</v>
      </c>
      <c r="M17" s="75">
        <v>0.05</v>
      </c>
      <c r="N17" s="75">
        <v>0</v>
      </c>
      <c r="O17" s="75">
        <v>0</v>
      </c>
      <c r="P17" s="76">
        <f t="shared" si="0"/>
        <v>0.2</v>
      </c>
    </row>
    <row r="18" spans="1:16" ht="15" customHeight="1">
      <c r="A18" s="68"/>
      <c r="B18" s="77">
        <f>IF(F18="","",4)</f>
        <v>4</v>
      </c>
      <c r="C18" s="80"/>
      <c r="D18" s="79" t="s">
        <v>123</v>
      </c>
      <c r="E18" s="90" t="s">
        <v>59</v>
      </c>
      <c r="F18" s="83">
        <v>0.05</v>
      </c>
      <c r="G18" s="82"/>
      <c r="H18" s="62"/>
      <c r="I18" s="89" t="s">
        <v>56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6">
        <f t="shared" si="0"/>
        <v>0</v>
      </c>
    </row>
    <row r="19" spans="1:16" ht="15" customHeight="1">
      <c r="A19" s="68"/>
      <c r="B19" s="77">
        <f>IF(F19="","",5)</f>
        <v>5</v>
      </c>
      <c r="C19" s="80" t="s">
        <v>124</v>
      </c>
      <c r="D19" s="79" t="s">
        <v>125</v>
      </c>
      <c r="E19" s="80" t="s">
        <v>58</v>
      </c>
      <c r="F19" s="83">
        <v>0.05</v>
      </c>
      <c r="G19" s="82"/>
      <c r="H19" s="62"/>
      <c r="I19" s="91" t="s">
        <v>57</v>
      </c>
      <c r="J19" s="75">
        <v>0</v>
      </c>
      <c r="K19" s="75">
        <v>0</v>
      </c>
      <c r="L19" s="75">
        <v>0</v>
      </c>
      <c r="M19" s="75">
        <v>0.05</v>
      </c>
      <c r="N19" s="75">
        <v>0</v>
      </c>
      <c r="O19" s="75">
        <v>0</v>
      </c>
      <c r="P19" s="76">
        <f t="shared" si="0"/>
        <v>0.05</v>
      </c>
    </row>
    <row r="20" spans="1:16" s="93" customFormat="1" ht="15" customHeight="1">
      <c r="A20" s="68"/>
      <c r="B20" s="77">
        <f>IF(F20="","",6)</f>
        <v>6</v>
      </c>
      <c r="C20" s="80"/>
      <c r="D20" s="79" t="s">
        <v>126</v>
      </c>
      <c r="E20" s="80" t="s">
        <v>55</v>
      </c>
      <c r="F20" s="83">
        <v>0.05</v>
      </c>
      <c r="G20" s="82"/>
      <c r="H20" s="92"/>
      <c r="I20" s="89" t="s">
        <v>58</v>
      </c>
      <c r="J20" s="75">
        <v>0.6</v>
      </c>
      <c r="K20" s="75">
        <v>0.25</v>
      </c>
      <c r="L20" s="75">
        <v>0.65</v>
      </c>
      <c r="M20" s="75">
        <v>0.6</v>
      </c>
      <c r="N20" s="75">
        <v>0</v>
      </c>
      <c r="O20" s="75">
        <v>0</v>
      </c>
      <c r="P20" s="76">
        <f t="shared" si="0"/>
        <v>2.1</v>
      </c>
    </row>
    <row r="21" spans="1:16" s="93" customFormat="1" ht="15" customHeight="1">
      <c r="A21" s="68"/>
      <c r="B21" s="77">
        <f>IF(F21="","",7)</f>
        <v>7</v>
      </c>
      <c r="C21" s="80"/>
      <c r="D21" s="79" t="s">
        <v>127</v>
      </c>
      <c r="E21" s="80" t="s">
        <v>51</v>
      </c>
      <c r="F21" s="202">
        <v>0.05</v>
      </c>
      <c r="G21" s="82"/>
      <c r="H21" s="92"/>
      <c r="I21" s="89" t="s">
        <v>59</v>
      </c>
      <c r="J21" s="75">
        <v>0</v>
      </c>
      <c r="K21" s="75">
        <v>0.05</v>
      </c>
      <c r="L21" s="75">
        <v>0</v>
      </c>
      <c r="M21" s="75">
        <v>0</v>
      </c>
      <c r="N21" s="75">
        <v>0</v>
      </c>
      <c r="O21" s="75">
        <v>0</v>
      </c>
      <c r="P21" s="76">
        <f t="shared" si="0"/>
        <v>0.05</v>
      </c>
    </row>
    <row r="22" spans="1:16" s="93" customFormat="1" ht="15" customHeight="1">
      <c r="A22" s="68"/>
      <c r="B22" s="77" t="str">
        <f>IF(F22="","",8)</f>
        <v/>
      </c>
      <c r="C22" s="80"/>
      <c r="D22" s="79"/>
      <c r="E22" s="90"/>
      <c r="F22" s="83"/>
      <c r="G22" s="82"/>
      <c r="H22" s="92"/>
      <c r="I22" s="89" t="s">
        <v>60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6">
        <f t="shared" si="0"/>
        <v>0</v>
      </c>
    </row>
    <row r="23" spans="1:16" s="93" customFormat="1" ht="15" customHeight="1">
      <c r="A23" s="68"/>
      <c r="B23" s="85">
        <f>COUNT(B15:B22)</f>
        <v>7</v>
      </c>
      <c r="C23" s="86" t="s">
        <v>116</v>
      </c>
      <c r="D23" s="86"/>
      <c r="E23" s="87" t="s">
        <v>117</v>
      </c>
      <c r="F23" s="88">
        <f>SUM(F15:F22)</f>
        <v>0.49999999999999994</v>
      </c>
      <c r="G23" s="94" t="s">
        <v>118</v>
      </c>
      <c r="H23" s="92"/>
      <c r="I23" s="195" t="s">
        <v>128</v>
      </c>
      <c r="J23" s="196">
        <f>SUBTOTAL(109,Kuntakohtaiset_henkilötyövuodet[Ryhmä 1])</f>
        <v>0.7</v>
      </c>
      <c r="K23" s="196">
        <f>SUBTOTAL(109,Kuntakohtaiset_henkilötyövuodet[Ryhmä 2])</f>
        <v>0.5</v>
      </c>
      <c r="L23" s="196">
        <f>SUBTOTAL(109,Kuntakohtaiset_henkilötyövuodet[Ryhmä 3])</f>
        <v>1.05</v>
      </c>
      <c r="M23" s="196">
        <f>SUBTOTAL(109,Kuntakohtaiset_henkilötyövuodet[Ryhmä 4])</f>
        <v>0.8</v>
      </c>
      <c r="N23" s="196">
        <f>SUBTOTAL(109,Kuntakohtaiset_henkilötyövuodet[Ryhmä 5])</f>
        <v>0</v>
      </c>
      <c r="O23" s="196">
        <f>SUBTOTAL(109,Kuntakohtaiset_henkilötyövuodet[Ryhmä 6])</f>
        <v>0</v>
      </c>
      <c r="P23" s="197">
        <f>SUBTOTAL(109,Kuntakohtaiset_henkilötyövuodet[htv ryhmissä yhteensä])</f>
        <v>3.05</v>
      </c>
    </row>
    <row r="24" spans="1:16" s="93" customFormat="1" ht="15" customHeight="1">
      <c r="A24" s="68"/>
      <c r="B24" s="69" t="s">
        <v>129</v>
      </c>
      <c r="C24" s="70"/>
      <c r="D24" s="71"/>
      <c r="E24" s="70"/>
      <c r="F24" s="72"/>
      <c r="G24" s="73"/>
      <c r="H24" s="92"/>
      <c r="I24" s="95"/>
      <c r="J24" s="92"/>
      <c r="K24" s="92"/>
      <c r="L24" s="92"/>
      <c r="M24" s="92"/>
      <c r="N24" s="92"/>
      <c r="O24" s="92"/>
      <c r="P24" s="92"/>
    </row>
    <row r="25" spans="1:16" s="93" customFormat="1" ht="15" customHeight="1">
      <c r="A25" s="68"/>
      <c r="B25" s="77">
        <f>IF(F25="","",1)</f>
        <v>1</v>
      </c>
      <c r="C25" s="78" t="s">
        <v>106</v>
      </c>
      <c r="D25" s="84" t="s">
        <v>130</v>
      </c>
      <c r="E25" s="78" t="s">
        <v>58</v>
      </c>
      <c r="F25" s="81">
        <v>0.35</v>
      </c>
      <c r="G25" s="82"/>
      <c r="H25" s="92"/>
      <c r="I25" s="95"/>
      <c r="J25" s="92"/>
      <c r="K25" s="92"/>
      <c r="L25" s="92"/>
      <c r="M25" s="92"/>
      <c r="N25" s="92"/>
      <c r="O25" s="92"/>
      <c r="P25" s="92"/>
    </row>
    <row r="26" spans="1:16" s="93" customFormat="1" ht="15" customHeight="1">
      <c r="A26" s="68"/>
      <c r="B26" s="77">
        <f>IF(F26="","",2)</f>
        <v>2</v>
      </c>
      <c r="C26" s="80"/>
      <c r="D26" s="79" t="s">
        <v>109</v>
      </c>
      <c r="E26" s="80" t="s">
        <v>49</v>
      </c>
      <c r="F26" s="83">
        <v>0.1</v>
      </c>
      <c r="G26" s="82"/>
      <c r="H26" s="92"/>
      <c r="I26" s="95"/>
      <c r="J26" s="92"/>
      <c r="K26" s="92"/>
      <c r="L26" s="92"/>
      <c r="M26" s="92"/>
      <c r="N26" s="92"/>
      <c r="O26" s="92"/>
      <c r="P26" s="92"/>
    </row>
    <row r="27" spans="1:16" s="93" customFormat="1" ht="15" customHeight="1">
      <c r="A27" s="68"/>
      <c r="B27" s="77">
        <f>IF(F27="","",3)</f>
        <v>3</v>
      </c>
      <c r="C27" s="80"/>
      <c r="D27" s="79" t="s">
        <v>131</v>
      </c>
      <c r="E27" s="80" t="s">
        <v>58</v>
      </c>
      <c r="F27" s="83">
        <v>0.2</v>
      </c>
      <c r="G27" s="82"/>
      <c r="H27" s="92"/>
      <c r="I27" s="95"/>
      <c r="J27" s="92"/>
      <c r="K27" s="92"/>
      <c r="L27" s="92"/>
      <c r="M27" s="92"/>
      <c r="N27" s="92"/>
      <c r="O27" s="92"/>
      <c r="P27" s="92"/>
    </row>
    <row r="28" spans="1:16" s="93" customFormat="1" ht="15" customHeight="1">
      <c r="A28" s="68"/>
      <c r="B28" s="77">
        <f>IF(F28="","",4)</f>
        <v>4</v>
      </c>
      <c r="C28" s="80"/>
      <c r="D28" s="79" t="s">
        <v>132</v>
      </c>
      <c r="E28" s="80" t="s">
        <v>58</v>
      </c>
      <c r="F28" s="83">
        <v>0.1</v>
      </c>
      <c r="G28" s="82"/>
      <c r="H28" s="92"/>
      <c r="I28" s="95"/>
      <c r="J28" s="92"/>
      <c r="K28" s="92"/>
      <c r="L28" s="92"/>
      <c r="M28" s="92"/>
      <c r="N28" s="92"/>
      <c r="O28" s="92"/>
      <c r="P28" s="92"/>
    </row>
    <row r="29" spans="1:16" s="93" customFormat="1" ht="15" customHeight="1">
      <c r="A29" s="68"/>
      <c r="B29" s="77">
        <f>IF(F29="","",5)</f>
        <v>5</v>
      </c>
      <c r="C29" s="80"/>
      <c r="D29" s="79" t="s">
        <v>133</v>
      </c>
      <c r="E29" s="80" t="s">
        <v>55</v>
      </c>
      <c r="F29" s="83">
        <v>0.1</v>
      </c>
      <c r="G29" s="82"/>
      <c r="H29" s="92"/>
      <c r="I29" s="95"/>
      <c r="J29" s="92"/>
      <c r="K29" s="92"/>
      <c r="L29" s="92"/>
      <c r="M29" s="92"/>
      <c r="N29" s="92"/>
      <c r="O29" s="92"/>
      <c r="P29" s="92"/>
    </row>
    <row r="30" spans="1:16" s="93" customFormat="1" ht="15" customHeight="1">
      <c r="A30" s="68"/>
      <c r="B30" s="77">
        <f>IF(F30="","",6)</f>
        <v>6</v>
      </c>
      <c r="C30" s="80"/>
      <c r="D30" s="79" t="s">
        <v>134</v>
      </c>
      <c r="E30" s="80" t="s">
        <v>53</v>
      </c>
      <c r="F30" s="83">
        <v>0.1</v>
      </c>
      <c r="G30" s="82"/>
      <c r="H30" s="92"/>
      <c r="I30" s="95"/>
      <c r="J30" s="92"/>
      <c r="K30" s="92"/>
      <c r="L30" s="92"/>
      <c r="M30" s="92"/>
      <c r="N30" s="92"/>
      <c r="O30" s="92"/>
      <c r="P30" s="92"/>
    </row>
    <row r="31" spans="1:16" s="93" customFormat="1" ht="15" customHeight="1">
      <c r="A31" s="68"/>
      <c r="B31" s="77">
        <f>IF(F31="","",7)</f>
        <v>7</v>
      </c>
      <c r="C31" s="80"/>
      <c r="D31" s="79" t="s">
        <v>135</v>
      </c>
      <c r="E31" s="80" t="s">
        <v>42</v>
      </c>
      <c r="F31" s="83">
        <v>0.1</v>
      </c>
      <c r="G31" s="82"/>
      <c r="H31" s="92"/>
      <c r="I31" s="95"/>
      <c r="J31" s="92"/>
      <c r="K31" s="92"/>
      <c r="L31" s="92"/>
      <c r="M31" s="92"/>
      <c r="N31" s="92"/>
      <c r="O31" s="92"/>
      <c r="P31" s="92"/>
    </row>
    <row r="32" spans="1:16" s="93" customFormat="1" ht="15" customHeight="1">
      <c r="A32" s="68"/>
      <c r="B32" s="77" t="str">
        <f>IF(F32="","",8)</f>
        <v/>
      </c>
      <c r="C32" s="80"/>
      <c r="D32" s="79"/>
      <c r="E32" s="80"/>
      <c r="F32" s="83"/>
      <c r="G32" s="82"/>
      <c r="H32" s="92"/>
      <c r="I32" s="95"/>
      <c r="J32" s="92"/>
      <c r="K32" s="92"/>
      <c r="L32" s="92"/>
      <c r="M32" s="92"/>
      <c r="N32" s="92"/>
      <c r="O32" s="92"/>
      <c r="P32" s="92"/>
    </row>
    <row r="33" spans="1:16" s="93" customFormat="1" ht="15" customHeight="1">
      <c r="A33" s="68"/>
      <c r="B33" s="85">
        <f>COUNT(B25:B32)</f>
        <v>7</v>
      </c>
      <c r="C33" s="86" t="s">
        <v>116</v>
      </c>
      <c r="D33" s="86"/>
      <c r="E33" s="87" t="s">
        <v>117</v>
      </c>
      <c r="F33" s="88">
        <f>SUM(F25:F32)</f>
        <v>1.0499999999999998</v>
      </c>
      <c r="G33" s="86" t="s">
        <v>118</v>
      </c>
      <c r="H33" s="92"/>
      <c r="I33" s="95"/>
      <c r="J33" s="92"/>
      <c r="K33" s="92"/>
      <c r="L33" s="92"/>
      <c r="M33" s="92"/>
      <c r="N33" s="92"/>
      <c r="O33" s="92"/>
      <c r="P33" s="92"/>
    </row>
    <row r="34" spans="1:16" s="93" customFormat="1" ht="15" customHeight="1">
      <c r="A34" s="68"/>
      <c r="B34" s="69" t="s">
        <v>136</v>
      </c>
      <c r="C34" s="70"/>
      <c r="D34" s="71"/>
      <c r="E34" s="70"/>
      <c r="F34" s="72"/>
      <c r="G34" s="73"/>
      <c r="H34" s="92"/>
      <c r="I34" s="95"/>
      <c r="J34" s="92"/>
      <c r="K34" s="92"/>
      <c r="L34" s="92"/>
      <c r="M34" s="92"/>
      <c r="N34" s="92"/>
      <c r="O34" s="92"/>
      <c r="P34" s="92"/>
    </row>
    <row r="35" spans="1:16" s="93" customFormat="1" ht="15" customHeight="1">
      <c r="A35" s="68"/>
      <c r="B35" s="77">
        <f>IF(F35="","",1)</f>
        <v>1</v>
      </c>
      <c r="C35" s="78" t="s">
        <v>137</v>
      </c>
      <c r="D35" s="84" t="s">
        <v>138</v>
      </c>
      <c r="E35" s="78" t="s">
        <v>58</v>
      </c>
      <c r="F35" s="81">
        <v>0.4</v>
      </c>
      <c r="G35" s="82"/>
      <c r="H35" s="92"/>
      <c r="I35" s="95"/>
      <c r="J35" s="92"/>
      <c r="K35" s="92"/>
      <c r="L35" s="92"/>
      <c r="M35" s="92"/>
      <c r="N35" s="92"/>
      <c r="O35" s="92"/>
      <c r="P35" s="92"/>
    </row>
    <row r="36" spans="1:16" s="93" customFormat="1" ht="15" customHeight="1">
      <c r="A36" s="68"/>
      <c r="B36" s="77">
        <f>IF(F36="","",2)</f>
        <v>2</v>
      </c>
      <c r="C36" s="80" t="s">
        <v>139</v>
      </c>
      <c r="D36" s="79" t="s">
        <v>140</v>
      </c>
      <c r="E36" s="80" t="s">
        <v>58</v>
      </c>
      <c r="F36" s="83">
        <v>0.2</v>
      </c>
      <c r="G36" s="82"/>
      <c r="H36" s="92"/>
      <c r="I36" s="95"/>
      <c r="J36" s="92"/>
      <c r="K36" s="92"/>
      <c r="L36" s="92"/>
      <c r="M36" s="92"/>
      <c r="N36" s="92"/>
      <c r="O36" s="92"/>
      <c r="P36" s="92"/>
    </row>
    <row r="37" spans="1:16" s="93" customFormat="1" ht="15" customHeight="1">
      <c r="A37" s="68"/>
      <c r="B37" s="77">
        <f>IF(F37="","",3)</f>
        <v>3</v>
      </c>
      <c r="C37" s="80"/>
      <c r="D37" s="79" t="s">
        <v>141</v>
      </c>
      <c r="E37" s="80" t="s">
        <v>55</v>
      </c>
      <c r="F37" s="83">
        <v>0.05</v>
      </c>
      <c r="G37" s="82"/>
      <c r="H37" s="92"/>
      <c r="I37" s="95"/>
      <c r="J37" s="92"/>
      <c r="K37" s="92"/>
      <c r="L37" s="92"/>
      <c r="M37" s="92"/>
      <c r="N37" s="92"/>
      <c r="O37" s="92"/>
      <c r="P37" s="92"/>
    </row>
    <row r="38" spans="1:16" s="93" customFormat="1" ht="15" customHeight="1">
      <c r="A38" s="68"/>
      <c r="B38" s="77">
        <f>IF(F38="","",4)</f>
        <v>4</v>
      </c>
      <c r="C38" s="80"/>
      <c r="D38" s="79" t="s">
        <v>135</v>
      </c>
      <c r="E38" s="80" t="s">
        <v>42</v>
      </c>
      <c r="F38" s="83">
        <v>0.05</v>
      </c>
      <c r="G38" s="82"/>
      <c r="H38" s="92"/>
      <c r="I38" s="95"/>
      <c r="J38" s="92"/>
      <c r="K38" s="92"/>
      <c r="L38" s="92"/>
      <c r="M38" s="92"/>
      <c r="N38" s="92"/>
      <c r="O38" s="92"/>
      <c r="P38" s="92"/>
    </row>
    <row r="39" spans="1:16" s="93" customFormat="1" ht="15" customHeight="1">
      <c r="A39" s="68"/>
      <c r="B39" s="77">
        <f>IF(F39="","",5)</f>
        <v>5</v>
      </c>
      <c r="C39" s="80"/>
      <c r="D39" s="79" t="s">
        <v>142</v>
      </c>
      <c r="E39" s="80" t="s">
        <v>53</v>
      </c>
      <c r="F39" s="83">
        <v>0.05</v>
      </c>
      <c r="G39" s="82"/>
      <c r="H39" s="92"/>
      <c r="I39" s="95"/>
      <c r="J39" s="92"/>
      <c r="K39" s="92"/>
      <c r="L39" s="92"/>
      <c r="M39" s="92"/>
      <c r="N39" s="92"/>
      <c r="O39" s="92"/>
      <c r="P39" s="92"/>
    </row>
    <row r="40" spans="1:16" s="93" customFormat="1" ht="15" customHeight="1">
      <c r="A40" s="68"/>
      <c r="B40" s="77">
        <f>IF(F40="","",6)</f>
        <v>6</v>
      </c>
      <c r="C40" s="80"/>
      <c r="D40" s="79" t="s">
        <v>143</v>
      </c>
      <c r="E40" s="80" t="s">
        <v>57</v>
      </c>
      <c r="F40" s="83">
        <v>0.05</v>
      </c>
      <c r="G40" s="82"/>
      <c r="H40" s="92"/>
      <c r="I40" s="95"/>
      <c r="J40" s="92"/>
      <c r="K40" s="92"/>
      <c r="L40" s="92"/>
      <c r="M40" s="92"/>
      <c r="N40" s="92"/>
      <c r="O40" s="92"/>
      <c r="P40" s="92"/>
    </row>
    <row r="41" spans="1:16" s="93" customFormat="1" ht="15" customHeight="1">
      <c r="A41" s="68"/>
      <c r="B41" s="77" t="str">
        <f>IF(F41="","",7)</f>
        <v/>
      </c>
      <c r="C41" s="80"/>
      <c r="D41" s="79"/>
      <c r="E41" s="80"/>
      <c r="F41" s="83"/>
      <c r="G41" s="82"/>
      <c r="H41" s="92"/>
      <c r="I41" s="95"/>
      <c r="J41" s="92"/>
      <c r="K41" s="92"/>
      <c r="L41" s="92"/>
      <c r="M41" s="92"/>
      <c r="N41" s="92"/>
      <c r="O41" s="92"/>
      <c r="P41" s="92"/>
    </row>
    <row r="42" spans="1:16" s="93" customFormat="1" ht="15" customHeight="1">
      <c r="A42" s="68"/>
      <c r="B42" s="77" t="str">
        <f>IF(F42="","",8)</f>
        <v/>
      </c>
      <c r="C42" s="80"/>
      <c r="D42" s="79"/>
      <c r="E42" s="80"/>
      <c r="F42" s="83"/>
      <c r="G42" s="82"/>
      <c r="H42" s="92"/>
      <c r="I42" s="95"/>
      <c r="J42" s="92"/>
      <c r="K42" s="92"/>
      <c r="L42" s="92"/>
      <c r="M42" s="92"/>
      <c r="N42" s="92"/>
      <c r="O42" s="92"/>
      <c r="P42" s="92"/>
    </row>
    <row r="43" spans="1:16" s="93" customFormat="1" ht="15" customHeight="1">
      <c r="A43" s="68"/>
      <c r="B43" s="85">
        <f>COUNT(B35:B42)</f>
        <v>6</v>
      </c>
      <c r="C43" s="86" t="s">
        <v>116</v>
      </c>
      <c r="D43" s="86"/>
      <c r="E43" s="87" t="s">
        <v>117</v>
      </c>
      <c r="F43" s="88">
        <f>SUM(F35:F42)</f>
        <v>0.80000000000000027</v>
      </c>
      <c r="G43" s="86" t="s">
        <v>118</v>
      </c>
      <c r="H43" s="92"/>
      <c r="I43" s="95"/>
      <c r="J43" s="92"/>
      <c r="K43" s="92"/>
      <c r="L43" s="92"/>
      <c r="M43" s="92"/>
      <c r="N43" s="92"/>
      <c r="O43" s="92"/>
      <c r="P43" s="92"/>
    </row>
    <row r="44" spans="1:16" s="93" customFormat="1" ht="15" customHeight="1">
      <c r="A44" s="68"/>
      <c r="B44" s="69" t="s">
        <v>144</v>
      </c>
      <c r="C44" s="70"/>
      <c r="D44" s="71"/>
      <c r="E44" s="70"/>
      <c r="F44" s="72"/>
      <c r="G44" s="73"/>
      <c r="H44" s="92"/>
      <c r="I44" s="95"/>
      <c r="J44" s="92"/>
      <c r="K44" s="92"/>
      <c r="L44" s="92"/>
      <c r="M44" s="92"/>
      <c r="N44" s="92"/>
      <c r="O44" s="92"/>
      <c r="P44" s="92"/>
    </row>
    <row r="45" spans="1:16" s="93" customFormat="1" ht="15" customHeight="1">
      <c r="A45" s="68"/>
      <c r="B45" s="77">
        <f>IF(F45="","",1)</f>
        <v>1</v>
      </c>
      <c r="C45" s="78"/>
      <c r="D45" s="84" t="s">
        <v>145</v>
      </c>
      <c r="E45" s="78" t="s">
        <v>58</v>
      </c>
      <c r="F45" s="81">
        <v>0</v>
      </c>
      <c r="G45" s="82"/>
      <c r="H45" s="92"/>
      <c r="I45" s="95"/>
      <c r="J45" s="92"/>
      <c r="K45" s="92"/>
      <c r="L45" s="92"/>
      <c r="M45" s="92"/>
      <c r="N45" s="92"/>
      <c r="O45" s="92"/>
      <c r="P45" s="92"/>
    </row>
    <row r="46" spans="1:16" s="93" customFormat="1" ht="15" customHeight="1">
      <c r="A46" s="68"/>
      <c r="B46" s="77">
        <f>IF(F46="","",2)</f>
        <v>2</v>
      </c>
      <c r="C46" s="80" t="s">
        <v>146</v>
      </c>
      <c r="D46" s="79" t="s">
        <v>147</v>
      </c>
      <c r="E46" s="80" t="s">
        <v>58</v>
      </c>
      <c r="F46" s="83">
        <v>0</v>
      </c>
      <c r="G46" s="82"/>
      <c r="H46" s="92"/>
      <c r="I46" s="95"/>
      <c r="J46" s="92"/>
      <c r="K46" s="92"/>
      <c r="L46" s="92"/>
      <c r="M46" s="92"/>
      <c r="N46" s="92"/>
      <c r="O46" s="92"/>
      <c r="P46" s="92"/>
    </row>
    <row r="47" spans="1:16" s="93" customFormat="1" ht="15" customHeight="1">
      <c r="A47" s="68"/>
      <c r="B47" s="77" t="str">
        <f>IF(F47="","",3)</f>
        <v/>
      </c>
      <c r="C47" s="80"/>
      <c r="D47" s="79"/>
      <c r="E47" s="80"/>
      <c r="F47" s="83"/>
      <c r="G47" s="82"/>
      <c r="H47" s="92"/>
      <c r="I47" s="95"/>
      <c r="J47" s="92"/>
      <c r="K47" s="92"/>
      <c r="L47" s="92"/>
      <c r="M47" s="92"/>
      <c r="N47" s="92"/>
      <c r="O47" s="92"/>
      <c r="P47" s="92"/>
    </row>
    <row r="48" spans="1:16" s="93" customFormat="1" ht="15" customHeight="1">
      <c r="A48" s="68"/>
      <c r="B48" s="96">
        <f>COUNT(B45:B47)</f>
        <v>2</v>
      </c>
      <c r="C48" s="97" t="s">
        <v>148</v>
      </c>
      <c r="D48" s="97"/>
      <c r="E48" s="98" t="s">
        <v>117</v>
      </c>
      <c r="F48" s="99">
        <f>SUM(F45:F47)</f>
        <v>0</v>
      </c>
      <c r="G48" s="100" t="s">
        <v>118</v>
      </c>
      <c r="H48" s="92"/>
      <c r="I48" s="95"/>
      <c r="J48" s="92"/>
      <c r="K48" s="92"/>
      <c r="L48" s="92"/>
      <c r="M48" s="92"/>
      <c r="N48" s="92"/>
      <c r="O48" s="92"/>
      <c r="P48" s="92"/>
    </row>
    <row r="49" spans="1:16" s="93" customFormat="1" ht="15" customHeight="1">
      <c r="A49" s="68"/>
      <c r="B49" s="101"/>
      <c r="C49" s="102"/>
      <c r="D49" s="103"/>
      <c r="E49" s="104" t="s">
        <v>149</v>
      </c>
      <c r="F49" s="105">
        <f>SUM(F13,F23,F33,F43,F48)</f>
        <v>3.0500000000000003</v>
      </c>
      <c r="G49" s="106" t="s">
        <v>118</v>
      </c>
      <c r="H49" s="92"/>
      <c r="I49" s="95"/>
      <c r="J49" s="92"/>
      <c r="K49" s="92"/>
      <c r="L49" s="92"/>
      <c r="M49" s="92"/>
      <c r="N49" s="92"/>
      <c r="O49" s="92"/>
      <c r="P49" s="92"/>
    </row>
    <row r="50" spans="1:16" s="93" customFormat="1" ht="15" customHeight="1">
      <c r="A50" s="68"/>
      <c r="B50" s="69" t="s">
        <v>150</v>
      </c>
      <c r="C50" s="70"/>
      <c r="D50" s="71"/>
      <c r="E50" s="70"/>
      <c r="F50" s="72"/>
      <c r="G50" s="73"/>
      <c r="H50" s="92"/>
      <c r="I50" s="95"/>
      <c r="J50" s="92"/>
      <c r="K50" s="92"/>
      <c r="L50" s="92"/>
      <c r="M50" s="92"/>
      <c r="N50" s="92"/>
      <c r="O50" s="92"/>
      <c r="P50" s="92"/>
    </row>
    <row r="51" spans="1:16" s="93" customFormat="1" ht="15" customHeight="1">
      <c r="A51" s="68"/>
      <c r="B51" s="77">
        <f>IF(F51="","",1)</f>
        <v>1</v>
      </c>
      <c r="C51" s="78" t="s">
        <v>151</v>
      </c>
      <c r="D51" s="84" t="s">
        <v>145</v>
      </c>
      <c r="E51" s="78" t="s">
        <v>58</v>
      </c>
      <c r="F51" s="83">
        <v>0</v>
      </c>
      <c r="G51" s="82"/>
      <c r="H51" s="92"/>
      <c r="I51" s="95"/>
      <c r="J51" s="92"/>
      <c r="K51" s="92"/>
      <c r="L51" s="92"/>
      <c r="M51" s="92"/>
      <c r="N51" s="92"/>
      <c r="O51" s="92"/>
      <c r="P51" s="92"/>
    </row>
    <row r="52" spans="1:16" s="93" customFormat="1" ht="15" customHeight="1">
      <c r="A52" s="68"/>
      <c r="B52" s="77">
        <f>IF(F52="","",2)</f>
        <v>2</v>
      </c>
      <c r="C52" s="78" t="s">
        <v>152</v>
      </c>
      <c r="D52" s="84" t="s">
        <v>153</v>
      </c>
      <c r="E52" s="78" t="s">
        <v>42</v>
      </c>
      <c r="F52" s="83">
        <v>0</v>
      </c>
      <c r="G52" s="82"/>
      <c r="H52" s="92"/>
      <c r="I52" s="95"/>
      <c r="J52" s="92"/>
      <c r="K52" s="92"/>
      <c r="L52" s="92"/>
      <c r="M52" s="92"/>
      <c r="N52" s="92"/>
      <c r="O52" s="92"/>
      <c r="P52" s="92"/>
    </row>
    <row r="53" spans="1:16" s="93" customFormat="1" ht="15" customHeight="1">
      <c r="A53" s="68"/>
      <c r="B53" s="77">
        <f>IF(F53="","",3)</f>
        <v>3</v>
      </c>
      <c r="C53" s="78"/>
      <c r="D53" s="84" t="s">
        <v>154</v>
      </c>
      <c r="E53" s="78" t="s">
        <v>51</v>
      </c>
      <c r="F53" s="83">
        <v>0</v>
      </c>
      <c r="G53" s="82"/>
      <c r="H53" s="92"/>
      <c r="I53" s="95"/>
      <c r="J53" s="92"/>
      <c r="K53" s="92"/>
      <c r="L53" s="92"/>
      <c r="M53" s="92"/>
      <c r="N53" s="92"/>
      <c r="O53" s="92"/>
      <c r="P53" s="92"/>
    </row>
    <row r="54" spans="1:16" s="93" customFormat="1" ht="15" customHeight="1">
      <c r="A54" s="68"/>
      <c r="B54" s="77">
        <f>IF(F54="","",4)</f>
        <v>4</v>
      </c>
      <c r="C54" s="78"/>
      <c r="D54" s="84" t="s">
        <v>155</v>
      </c>
      <c r="E54" s="78" t="s">
        <v>53</v>
      </c>
      <c r="F54" s="83">
        <v>0</v>
      </c>
      <c r="G54" s="82"/>
      <c r="H54" s="92"/>
      <c r="I54" s="95"/>
      <c r="J54" s="62"/>
      <c r="K54" s="92"/>
      <c r="L54" s="92"/>
      <c r="M54" s="92"/>
      <c r="N54" s="92"/>
      <c r="O54" s="92"/>
      <c r="P54" s="92"/>
    </row>
    <row r="55" spans="1:16" s="93" customFormat="1" ht="15" customHeight="1">
      <c r="A55" s="68"/>
      <c r="B55" s="77">
        <f>IF(F55="","",5)</f>
        <v>5</v>
      </c>
      <c r="C55" s="78"/>
      <c r="D55" s="84" t="s">
        <v>156</v>
      </c>
      <c r="E55" s="78" t="s">
        <v>50</v>
      </c>
      <c r="F55" s="83">
        <v>0</v>
      </c>
      <c r="G55" s="82"/>
      <c r="H55" s="62"/>
      <c r="I55" s="95"/>
      <c r="J55" s="62"/>
      <c r="K55" s="62"/>
      <c r="L55" s="62"/>
      <c r="M55" s="62"/>
      <c r="N55" s="62"/>
      <c r="O55" s="62"/>
      <c r="P55" s="62"/>
    </row>
    <row r="56" spans="1:16" ht="15" customHeight="1">
      <c r="B56" s="77">
        <f>IF(F56="","",6)</f>
        <v>6</v>
      </c>
      <c r="C56" s="78"/>
      <c r="D56" s="84" t="s">
        <v>157</v>
      </c>
      <c r="E56" s="78" t="s">
        <v>44</v>
      </c>
      <c r="F56" s="83">
        <v>0</v>
      </c>
      <c r="G56" s="82"/>
      <c r="H56" s="62"/>
      <c r="I56" s="108"/>
      <c r="J56" s="109"/>
    </row>
    <row r="57" spans="1:16" ht="15" customHeight="1">
      <c r="B57" s="77" t="str">
        <f>IF(F57="","",7)</f>
        <v/>
      </c>
      <c r="C57" s="78"/>
      <c r="D57" s="84"/>
      <c r="E57" s="78"/>
      <c r="F57" s="83"/>
      <c r="G57" s="82"/>
      <c r="H57" s="110"/>
      <c r="I57" s="111"/>
      <c r="J57" s="112"/>
    </row>
    <row r="58" spans="1:16" ht="15" customHeight="1">
      <c r="B58" s="113"/>
      <c r="C58" s="78" t="s">
        <v>158</v>
      </c>
      <c r="D58" s="84" t="s">
        <v>147</v>
      </c>
      <c r="E58" s="78" t="s">
        <v>58</v>
      </c>
      <c r="F58" s="83">
        <v>0</v>
      </c>
      <c r="G58" s="82"/>
      <c r="H58" s="112"/>
      <c r="I58" s="111"/>
      <c r="J58" s="112"/>
    </row>
    <row r="59" spans="1:16" ht="15" customHeight="1">
      <c r="B59" s="114"/>
      <c r="C59" s="78" t="s">
        <v>159</v>
      </c>
      <c r="D59" s="84" t="s">
        <v>160</v>
      </c>
      <c r="E59" s="78" t="s">
        <v>45</v>
      </c>
      <c r="F59" s="83">
        <v>0</v>
      </c>
      <c r="G59" s="82"/>
      <c r="H59" s="112"/>
      <c r="I59" s="111"/>
      <c r="J59" s="112"/>
    </row>
    <row r="60" spans="1:16" ht="15" customHeight="1">
      <c r="B60" s="113"/>
      <c r="C60" s="78" t="s">
        <v>161</v>
      </c>
      <c r="D60" s="84" t="s">
        <v>162</v>
      </c>
      <c r="E60" s="78" t="s">
        <v>55</v>
      </c>
      <c r="F60" s="83">
        <v>0</v>
      </c>
      <c r="G60" s="82"/>
      <c r="H60" s="112"/>
      <c r="I60" s="111"/>
      <c r="J60" s="112"/>
    </row>
    <row r="61" spans="1:16" ht="15" customHeight="1">
      <c r="B61" s="96">
        <f>COUNT(B51:B58)</f>
        <v>6</v>
      </c>
      <c r="C61" s="97" t="s">
        <v>163</v>
      </c>
      <c r="D61" s="115"/>
      <c r="E61" s="116" t="s">
        <v>117</v>
      </c>
      <c r="F61" s="117">
        <f>SUM(F51:F57)</f>
        <v>0</v>
      </c>
      <c r="G61" s="118" t="s">
        <v>118</v>
      </c>
      <c r="H61" s="112"/>
      <c r="I61" s="111"/>
      <c r="J61" s="112"/>
    </row>
    <row r="62" spans="1:16" ht="15.75" customHeight="1">
      <c r="B62" s="119"/>
      <c r="C62" s="120"/>
      <c r="D62" s="120"/>
      <c r="E62" s="119"/>
      <c r="F62" s="111"/>
      <c r="G62" s="111"/>
      <c r="H62" s="112"/>
      <c r="I62" s="111"/>
      <c r="J62" s="112"/>
    </row>
    <row r="63" spans="1:16" ht="12" customHeight="1">
      <c r="B63" s="119"/>
      <c r="C63" s="120"/>
      <c r="D63" s="120"/>
      <c r="E63" s="119"/>
      <c r="F63" s="111"/>
      <c r="G63" s="111"/>
      <c r="H63" s="112"/>
      <c r="I63" s="111"/>
      <c r="J63" s="112"/>
    </row>
    <row r="64" spans="1:16" ht="12" customHeight="1">
      <c r="B64" s="119"/>
      <c r="C64" s="120"/>
      <c r="D64" s="120"/>
      <c r="E64" s="119"/>
      <c r="F64" s="111"/>
      <c r="G64" s="111"/>
      <c r="H64" s="112"/>
      <c r="I64" s="111"/>
      <c r="J64" s="112"/>
    </row>
    <row r="65" spans="2:10" ht="12" customHeight="1">
      <c r="B65" s="119"/>
      <c r="C65" s="120"/>
      <c r="D65" s="120"/>
      <c r="E65" s="119"/>
      <c r="F65" s="111"/>
      <c r="G65" s="111"/>
      <c r="H65" s="112"/>
      <c r="I65" s="111"/>
      <c r="J65" s="112"/>
    </row>
    <row r="66" spans="2:10" ht="12" customHeight="1">
      <c r="B66" s="119"/>
      <c r="C66" s="120"/>
      <c r="D66" s="120"/>
      <c r="E66" s="119"/>
      <c r="F66" s="111"/>
      <c r="G66" s="111"/>
      <c r="H66" s="112"/>
      <c r="I66" s="111"/>
      <c r="J66" s="112"/>
    </row>
    <row r="67" spans="2:10" ht="12" customHeight="1">
      <c r="B67" s="119"/>
      <c r="C67" s="120"/>
      <c r="D67" s="120"/>
      <c r="E67" s="119"/>
      <c r="F67" s="111"/>
      <c r="G67" s="111"/>
      <c r="H67" s="112"/>
      <c r="I67" s="111"/>
      <c r="J67" s="112"/>
    </row>
    <row r="68" spans="2:10" ht="12" customHeight="1">
      <c r="B68" s="119"/>
      <c r="C68" s="120"/>
      <c r="D68" s="120"/>
      <c r="E68" s="119"/>
      <c r="F68" s="111"/>
      <c r="G68" s="111"/>
      <c r="H68" s="112"/>
      <c r="I68" s="111"/>
      <c r="J68" s="112"/>
    </row>
    <row r="69" spans="2:10" ht="12" customHeight="1">
      <c r="B69" s="119"/>
      <c r="C69" s="120"/>
      <c r="D69" s="120"/>
      <c r="E69" s="119"/>
      <c r="F69" s="111"/>
      <c r="G69" s="111"/>
      <c r="H69" s="112"/>
      <c r="I69" s="111"/>
      <c r="J69" s="112"/>
    </row>
    <row r="70" spans="2:10" ht="12" customHeight="1">
      <c r="B70" s="119"/>
      <c r="C70" s="120"/>
      <c r="D70" s="120"/>
      <c r="E70" s="119"/>
      <c r="F70" s="111"/>
      <c r="G70" s="111"/>
      <c r="H70" s="112"/>
      <c r="I70" s="111"/>
      <c r="J70" s="112"/>
    </row>
    <row r="71" spans="2:10" ht="12" customHeight="1">
      <c r="B71" s="119"/>
      <c r="C71" s="120"/>
      <c r="D71" s="120"/>
      <c r="E71" s="119"/>
      <c r="F71" s="111"/>
      <c r="G71" s="111"/>
      <c r="H71" s="112"/>
      <c r="I71" s="111"/>
      <c r="J71" s="112"/>
    </row>
    <row r="72" spans="2:10" ht="12" customHeight="1">
      <c r="B72" s="119"/>
      <c r="C72" s="120"/>
      <c r="D72" s="120"/>
      <c r="E72" s="119"/>
      <c r="F72" s="111"/>
      <c r="G72" s="111"/>
      <c r="H72" s="112"/>
      <c r="I72" s="111"/>
      <c r="J72" s="112"/>
    </row>
    <row r="73" spans="2:10" ht="12" customHeight="1">
      <c r="B73" s="119"/>
      <c r="C73" s="120"/>
      <c r="D73" s="120"/>
      <c r="E73" s="119"/>
      <c r="F73" s="111"/>
      <c r="G73" s="111"/>
      <c r="H73" s="112"/>
      <c r="I73" s="111"/>
      <c r="J73" s="112"/>
    </row>
    <row r="74" spans="2:10" ht="12" customHeight="1">
      <c r="B74" s="119"/>
      <c r="C74" s="120"/>
      <c r="D74" s="120"/>
      <c r="E74" s="119"/>
      <c r="F74" s="111"/>
      <c r="G74" s="111"/>
      <c r="H74" s="112"/>
      <c r="I74" s="111"/>
      <c r="J74" s="112"/>
    </row>
    <row r="75" spans="2:10" ht="12" customHeight="1">
      <c r="B75" s="119"/>
      <c r="C75" s="120"/>
      <c r="D75" s="120"/>
      <c r="E75" s="119"/>
      <c r="F75" s="111"/>
      <c r="G75" s="111"/>
      <c r="H75" s="112"/>
      <c r="I75" s="111"/>
      <c r="J75" s="112"/>
    </row>
    <row r="76" spans="2:10" ht="12" customHeight="1">
      <c r="B76" s="119"/>
      <c r="C76" s="120"/>
      <c r="D76" s="120"/>
      <c r="E76" s="119"/>
      <c r="F76" s="111"/>
      <c r="G76" s="111"/>
      <c r="H76" s="112"/>
      <c r="I76" s="111"/>
      <c r="J76" s="112"/>
    </row>
    <row r="77" spans="2:10" ht="12" customHeight="1">
      <c r="B77" s="119"/>
      <c r="C77" s="120"/>
      <c r="D77" s="120"/>
      <c r="E77" s="119"/>
      <c r="F77" s="111"/>
      <c r="G77" s="111"/>
      <c r="H77" s="112"/>
      <c r="I77" s="111"/>
      <c r="J77" s="112"/>
    </row>
    <row r="78" spans="2:10" ht="12" customHeight="1">
      <c r="B78" s="119"/>
      <c r="C78" s="120"/>
      <c r="D78" s="120"/>
      <c r="E78" s="119"/>
      <c r="F78" s="111"/>
      <c r="G78" s="111"/>
      <c r="H78" s="112"/>
      <c r="I78" s="111"/>
      <c r="J78" s="112"/>
    </row>
    <row r="79" spans="2:10" ht="12" customHeight="1">
      <c r="B79" s="119"/>
      <c r="C79" s="120"/>
      <c r="D79" s="120"/>
      <c r="E79" s="119"/>
      <c r="F79" s="111"/>
      <c r="G79" s="111"/>
      <c r="H79" s="112"/>
      <c r="I79" s="111"/>
      <c r="J79" s="112"/>
    </row>
    <row r="80" spans="2:10" ht="12" customHeight="1">
      <c r="B80" s="119"/>
      <c r="C80" s="120"/>
      <c r="D80" s="120"/>
      <c r="E80" s="119"/>
      <c r="F80" s="111"/>
      <c r="G80" s="111"/>
      <c r="H80" s="112"/>
      <c r="I80" s="111"/>
      <c r="J80" s="112"/>
    </row>
    <row r="81" spans="2:10" ht="12" customHeight="1">
      <c r="B81" s="119"/>
      <c r="C81" s="120"/>
      <c r="D81" s="120"/>
      <c r="E81" s="119"/>
      <c r="F81" s="111"/>
      <c r="G81" s="111"/>
      <c r="H81" s="112"/>
      <c r="I81" s="111"/>
      <c r="J81" s="112"/>
    </row>
    <row r="82" spans="2:10" ht="12" customHeight="1">
      <c r="B82" s="119"/>
      <c r="C82" s="120"/>
      <c r="D82" s="120"/>
      <c r="E82" s="119"/>
      <c r="F82" s="111"/>
      <c r="G82" s="111"/>
      <c r="H82" s="112"/>
      <c r="I82" s="111"/>
      <c r="J82" s="112"/>
    </row>
    <row r="83" spans="2:10" ht="12" customHeight="1">
      <c r="B83" s="119"/>
      <c r="C83" s="120"/>
      <c r="D83" s="120"/>
      <c r="E83" s="119"/>
      <c r="F83" s="111"/>
      <c r="G83" s="111"/>
      <c r="H83" s="112"/>
      <c r="I83" s="111"/>
      <c r="J83" s="112"/>
    </row>
    <row r="84" spans="2:10" ht="12" customHeight="1">
      <c r="B84" s="119"/>
      <c r="C84" s="120"/>
      <c r="D84" s="120"/>
      <c r="E84" s="119"/>
      <c r="F84" s="111"/>
      <c r="G84" s="111"/>
      <c r="H84" s="112"/>
      <c r="I84" s="111"/>
      <c r="J84" s="112"/>
    </row>
    <row r="85" spans="2:10" ht="12" customHeight="1">
      <c r="B85" s="119"/>
      <c r="C85" s="120"/>
      <c r="D85" s="120"/>
      <c r="E85" s="119"/>
      <c r="F85" s="111"/>
      <c r="G85" s="111"/>
      <c r="H85" s="112"/>
      <c r="I85" s="111"/>
      <c r="J85" s="112"/>
    </row>
    <row r="86" spans="2:10" ht="12" customHeight="1">
      <c r="B86" s="119"/>
      <c r="C86" s="120"/>
      <c r="D86" s="120"/>
      <c r="E86" s="119"/>
      <c r="F86" s="111"/>
      <c r="G86" s="111"/>
      <c r="H86" s="112"/>
      <c r="I86" s="111"/>
      <c r="J86" s="112"/>
    </row>
    <row r="87" spans="2:10" ht="12" customHeight="1">
      <c r="B87" s="119"/>
      <c r="C87" s="120"/>
      <c r="D87" s="120"/>
      <c r="E87" s="119"/>
      <c r="F87" s="111"/>
      <c r="G87" s="111"/>
      <c r="H87" s="112"/>
      <c r="I87" s="111"/>
      <c r="J87" s="112"/>
    </row>
    <row r="88" spans="2:10" ht="12" customHeight="1">
      <c r="B88" s="119"/>
      <c r="C88" s="120"/>
      <c r="D88" s="120"/>
      <c r="E88" s="119"/>
      <c r="F88" s="111"/>
      <c r="G88" s="111"/>
      <c r="H88" s="112"/>
      <c r="I88" s="111"/>
      <c r="J88" s="112"/>
    </row>
    <row r="89" spans="2:10" ht="12" customHeight="1">
      <c r="B89" s="119"/>
      <c r="C89" s="120"/>
      <c r="D89" s="120"/>
      <c r="E89" s="119"/>
      <c r="F89" s="111"/>
      <c r="G89" s="111"/>
      <c r="H89" s="112"/>
      <c r="I89" s="111"/>
      <c r="J89" s="112"/>
    </row>
    <row r="90" spans="2:10" ht="12" customHeight="1">
      <c r="B90" s="119"/>
      <c r="C90" s="120"/>
      <c r="D90" s="120"/>
      <c r="E90" s="119"/>
      <c r="F90" s="111"/>
      <c r="G90" s="111"/>
      <c r="H90" s="112"/>
      <c r="I90" s="111"/>
      <c r="J90" s="112"/>
    </row>
    <row r="91" spans="2:10" ht="12" customHeight="1">
      <c r="H91" s="112"/>
      <c r="I91" s="111"/>
      <c r="J91" s="112"/>
    </row>
    <row r="92" spans="2:10" ht="12" customHeight="1">
      <c r="H92" s="112"/>
    </row>
  </sheetData>
  <mergeCells count="2">
    <mergeCell ref="B1:C1"/>
    <mergeCell ref="B3:G3"/>
  </mergeCells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8F962BAC8177549BAFB2B7F4CFB2DAA" ma:contentTypeVersion="2" ma:contentTypeDescription="Luo uusi asiakirja." ma:contentTypeScope="" ma:versionID="a1b73850639e2ecb4f9dd49f038da7de">
  <xsd:schema xmlns:xsd="http://www.w3.org/2001/XMLSchema" xmlns:xs="http://www.w3.org/2001/XMLSchema" xmlns:p="http://schemas.microsoft.com/office/2006/metadata/properties" xmlns:ns2="b1f59c2a-9d6e-424c-af6d-953b71280567" targetNamespace="http://schemas.microsoft.com/office/2006/metadata/properties" ma:root="true" ma:fieldsID="56252f3a7a9331bc214fff2b213e17ba" ns2:_="">
    <xsd:import namespace="b1f59c2a-9d6e-424c-af6d-953b71280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59c2a-9d6e-424c-af6d-953b71280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D6BD9-409E-455E-891F-B9FA89988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59c2a-9d6e-424c-af6d-953b71280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3640B-4577-465B-A1BD-C16C6CE1B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E35DC6-062A-4379-8716-17325C92AFD8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b1f59c2a-9d6e-424c-af6d-953b71280567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budjetti 2021 </vt:lpstr>
      <vt:lpstr>Budjetti työryhmillä 2021</vt:lpstr>
      <vt:lpstr>Työryhmien kuluerottelu</vt:lpstr>
      <vt:lpstr>Työryhmät 2021</vt:lpstr>
    </vt:vector>
  </TitlesOfParts>
  <Manager/>
  <Company>Turun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Koskinen Kaarina</dc:creator>
  <cp:keywords/>
  <dc:description/>
  <cp:lastModifiedBy>Hyyppä Nina</cp:lastModifiedBy>
  <cp:revision/>
  <dcterms:created xsi:type="dcterms:W3CDTF">2012-02-09T10:20:19Z</dcterms:created>
  <dcterms:modified xsi:type="dcterms:W3CDTF">2020-05-27T06:35:10Z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0x01010048F962BAC8177549BAFB2B7F4CFB2DAA</vt:lpwstr>
  </property>
  <property fmtid="{D5CDD505-2E9C-101B-9397-08002B2CF9AE}" pid="3" name="TurkuDoTku_MeetingDocumentType">
    <vt:lpwstr>21;#Liite|2bf75084-fc5f-437d-8688-7a1f79a9adba</vt:lpwstr>
  </property>
  <property fmtid="{D5CDD505-2E9C-101B-9397-08002B2CF9AE}" pid="4" name="TurkuDoTku_VideoFileTypeTaxHTField0">
    <vt:lpwstr>Videokuva|82098cdd-6e57-4a24-8887-90ce7bab4a54</vt:lpwstr>
  </property>
  <property fmtid="{D5CDD505-2E9C-101B-9397-08002B2CF9AE}" pid="5" name="TurkuDoTku_PresentationMaterialTypeTaxHTField0">
    <vt:lpwstr>Diaesitys|29bf125c-3304-4b20-a038-e327a30ca536</vt:lpwstr>
  </property>
  <property fmtid="{D5CDD505-2E9C-101B-9397-08002B2CF9AE}" pid="6" name="TurkuDoTku_LanguageTaxHTField0">
    <vt:lpwstr>Suomi|ddab1725-3888-478f-9c8c-3eeceecd16e9</vt:lpwstr>
  </property>
  <property fmtid="{D5CDD505-2E9C-101B-9397-08002B2CF9AE}" pid="7" name="TurkuDoTku_AudioFileTypeTaxHTField0">
    <vt:lpwstr>Äänitiedosto|2ce7008b-f285-403a-bd25-9c3fffad5372</vt:lpwstr>
  </property>
  <property fmtid="{D5CDD505-2E9C-101B-9397-08002B2CF9AE}" pid="8" name="TaxCatchAll">
    <vt:lpwstr>32;#Kustannusarvio|dab62a2a-347d-4f16-b103-1a0ad3d8dff7;#12;#Äänitiedosto|2ce7008b-f285-403a-bd25-9c3fffad5372;#4;#Suomi|ddab1725-3888-478f-9c8c-3eeceecd16e9;#9;#Videokuva|82098cdd-6e57-4a24-8887-90ce7bab4a54;#21;#Liite|2bf75084-fc5f-437d-8688-7a1f79a9adb</vt:lpwstr>
  </property>
  <property fmtid="{D5CDD505-2E9C-101B-9397-08002B2CF9AE}" pid="9" name="TurkuDoTku_PresentationMaterialType">
    <vt:lpwstr>1;#Diaesitys|29bf125c-3304-4b20-a038-e327a30ca536</vt:lpwstr>
  </property>
  <property fmtid="{D5CDD505-2E9C-101B-9397-08002B2CF9AE}" pid="10" name="TurkuDoTku_AudioFileType">
    <vt:lpwstr>12;#Äänitiedosto|2ce7008b-f285-403a-bd25-9c3fffad5372</vt:lpwstr>
  </property>
  <property fmtid="{D5CDD505-2E9C-101B-9397-08002B2CF9AE}" pid="11" name="TurkuDoTku_Language">
    <vt:lpwstr>4;#Suomi|ddab1725-3888-478f-9c8c-3eeceecd16e9</vt:lpwstr>
  </property>
  <property fmtid="{D5CDD505-2E9C-101B-9397-08002B2CF9AE}" pid="12" name="TurkuDoTku_MeetingDocumentTypeTaxHTField0">
    <vt:lpwstr>Liite|2bf75084-fc5f-437d-8688-7a1f79a9adba</vt:lpwstr>
  </property>
  <property fmtid="{D5CDD505-2E9C-101B-9397-08002B2CF9AE}" pid="13" name="TurkuDoTku_VideoFileType">
    <vt:lpwstr>9;#Videokuva|82098cdd-6e57-4a24-8887-90ce7bab4a54</vt:lpwstr>
  </property>
  <property fmtid="{D5CDD505-2E9C-101B-9397-08002B2CF9AE}" pid="14" name="TurkuDoTku_DecisionOrMeetingDate">
    <vt:filetime>2018-04-09T21:00:00Z</vt:filetime>
  </property>
  <property fmtid="{D5CDD505-2E9C-101B-9397-08002B2CF9AE}" pid="15" name="TurkuDoTku_StatisticAndCalculationType">
    <vt:lpwstr>32;#Kustannusarvio|dab62a2a-347d-4f16-b103-1a0ad3d8dff7</vt:lpwstr>
  </property>
  <property fmtid="{D5CDD505-2E9C-101B-9397-08002B2CF9AE}" pid="16" name="TurkuDoTku_StatisticAndCalculationTypeTaxHTField0">
    <vt:lpwstr>Kustannusarvio|dab62a2a-347d-4f16-b103-1a0ad3d8dff7</vt:lpwstr>
  </property>
  <property fmtid="{D5CDD505-2E9C-101B-9397-08002B2CF9AE}" pid="17" name="dotku_EconomicDataType">
    <vt:lpwstr>Kustannusarvio</vt:lpwstr>
  </property>
  <property fmtid="{D5CDD505-2E9C-101B-9397-08002B2CF9AE}" pid="18" name="dotku_MeetingMaterialType">
    <vt:lpwstr>Liite</vt:lpwstr>
  </property>
  <property fmtid="{D5CDD505-2E9C-101B-9397-08002B2CF9AE}" pid="19" name="dotku_MeetingMaterialDate">
    <vt:filetime>2019-05-06T21:00:00Z</vt:filetime>
  </property>
</Properties>
</file>